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xl/tables/table65.xml" ContentType="application/vnd.openxmlformats-officedocument.spreadsheetml.table+xml"/>
  <Override PartName="/xl/tables/table66.xml" ContentType="application/vnd.openxmlformats-officedocument.spreadsheetml.table+xml"/>
  <Override PartName="/xl/tables/table67.xml" ContentType="application/vnd.openxmlformats-officedocument.spreadsheetml.table+xml"/>
  <Override PartName="/xl/tables/table68.xml" ContentType="application/vnd.openxmlformats-officedocument.spreadsheetml.table+xml"/>
  <Override PartName="/xl/tables/table69.xml" ContentType="application/vnd.openxmlformats-officedocument.spreadsheetml.table+xml"/>
  <Override PartName="/xl/tables/table70.xml" ContentType="application/vnd.openxmlformats-officedocument.spreadsheetml.table+xml"/>
  <Override PartName="/xl/tables/table71.xml" ContentType="application/vnd.openxmlformats-officedocument.spreadsheetml.table+xml"/>
  <Override PartName="/xl/tables/table72.xml" ContentType="application/vnd.openxmlformats-officedocument.spreadsheetml.table+xml"/>
  <Override PartName="/xl/tables/table73.xml" ContentType="application/vnd.openxmlformats-officedocument.spreadsheetml.table+xml"/>
  <Override PartName="/xl/tables/table74.xml" ContentType="application/vnd.openxmlformats-officedocument.spreadsheetml.table+xml"/>
  <Override PartName="/xl/tables/table75.xml" ContentType="application/vnd.openxmlformats-officedocument.spreadsheetml.table+xml"/>
  <Override PartName="/xl/tables/table76.xml" ContentType="application/vnd.openxmlformats-officedocument.spreadsheetml.table+xml"/>
  <Override PartName="/xl/tables/table77.xml" ContentType="application/vnd.openxmlformats-officedocument.spreadsheetml.table+xml"/>
  <Override PartName="/xl/tables/table78.xml" ContentType="application/vnd.openxmlformats-officedocument.spreadsheetml.table+xml"/>
  <Override PartName="/xl/tables/table79.xml" ContentType="application/vnd.openxmlformats-officedocument.spreadsheetml.table+xml"/>
  <Override PartName="/xl/tables/table80.xml" ContentType="application/vnd.openxmlformats-officedocument.spreadsheetml.table+xml"/>
  <Override PartName="/xl/tables/table81.xml" ContentType="application/vnd.openxmlformats-officedocument.spreadsheetml.table+xml"/>
  <Override PartName="/xl/tables/table82.xml" ContentType="application/vnd.openxmlformats-officedocument.spreadsheetml.table+xml"/>
  <Override PartName="/xl/tables/table83.xml" ContentType="application/vnd.openxmlformats-officedocument.spreadsheetml.table+xml"/>
  <Override PartName="/xl/tables/table84.xml" ContentType="application/vnd.openxmlformats-officedocument.spreadsheetml.table+xml"/>
  <Override PartName="/xl/tables/table85.xml" ContentType="application/vnd.openxmlformats-officedocument.spreadsheetml.table+xml"/>
  <Override PartName="/xl/tables/table86.xml" ContentType="application/vnd.openxmlformats-officedocument.spreadsheetml.table+xml"/>
  <Override PartName="/xl/tables/table87.xml" ContentType="application/vnd.openxmlformats-officedocument.spreadsheetml.table+xml"/>
  <Override PartName="/xl/tables/table88.xml" ContentType="application/vnd.openxmlformats-officedocument.spreadsheetml.table+xml"/>
  <Override PartName="/xl/tables/table89.xml" ContentType="application/vnd.openxmlformats-officedocument.spreadsheetml.table+xml"/>
  <Override PartName="/xl/tables/table90.xml" ContentType="application/vnd.openxmlformats-officedocument.spreadsheetml.table+xml"/>
  <Override PartName="/xl/tables/table91.xml" ContentType="application/vnd.openxmlformats-officedocument.spreadsheetml.table+xml"/>
  <Override PartName="/xl/tables/table92.xml" ContentType="application/vnd.openxmlformats-officedocument.spreadsheetml.table+xml"/>
  <Override PartName="/xl/tables/table93.xml" ContentType="application/vnd.openxmlformats-officedocument.spreadsheetml.table+xml"/>
  <Override PartName="/xl/tables/table94.xml" ContentType="application/vnd.openxmlformats-officedocument.spreadsheetml.table+xml"/>
  <Override PartName="/xl/tables/table95.xml" ContentType="application/vnd.openxmlformats-officedocument.spreadsheetml.table+xml"/>
  <Override PartName="/xl/tables/table96.xml" ContentType="application/vnd.openxmlformats-officedocument.spreadsheetml.table+xml"/>
  <Override PartName="/xl/tables/table97.xml" ContentType="application/vnd.openxmlformats-officedocument.spreadsheetml.table+xml"/>
  <Override PartName="/xl/tables/table98.xml" ContentType="application/vnd.openxmlformats-officedocument.spreadsheetml.table+xml"/>
  <Override PartName="/xl/tables/table99.xml" ContentType="application/vnd.openxmlformats-officedocument.spreadsheetml.table+xml"/>
  <Override PartName="/xl/tables/table100.xml" ContentType="application/vnd.openxmlformats-officedocument.spreadsheetml.table+xml"/>
  <Override PartName="/xl/tables/table101.xml" ContentType="application/vnd.openxmlformats-officedocument.spreadsheetml.table+xml"/>
  <Override PartName="/xl/tables/table102.xml" ContentType="application/vnd.openxmlformats-officedocument.spreadsheetml.table+xml"/>
  <Override PartName="/xl/tables/table103.xml" ContentType="application/vnd.openxmlformats-officedocument.spreadsheetml.table+xml"/>
  <Override PartName="/xl/tables/table104.xml" ContentType="application/vnd.openxmlformats-officedocument.spreadsheetml.table+xml"/>
  <Override PartName="/xl/tables/table105.xml" ContentType="application/vnd.openxmlformats-officedocument.spreadsheetml.table+xml"/>
  <Override PartName="/xl/tables/table106.xml" ContentType="application/vnd.openxmlformats-officedocument.spreadsheetml.table+xml"/>
  <Override PartName="/xl/tables/table107.xml" ContentType="application/vnd.openxmlformats-officedocument.spreadsheetml.table+xml"/>
  <Override PartName="/xl/tables/table108.xml" ContentType="application/vnd.openxmlformats-officedocument.spreadsheetml.table+xml"/>
  <Override PartName="/xl/tables/table109.xml" ContentType="application/vnd.openxmlformats-officedocument.spreadsheetml.table+xml"/>
  <Override PartName="/xl/tables/table110.xml" ContentType="application/vnd.openxmlformats-officedocument.spreadsheetml.table+xml"/>
  <Override PartName="/xl/tables/table111.xml" ContentType="application/vnd.openxmlformats-officedocument.spreadsheetml.table+xml"/>
  <Override PartName="/xl/tables/table112.xml" ContentType="application/vnd.openxmlformats-officedocument.spreadsheetml.table+xml"/>
  <Override PartName="/xl/tables/table113.xml" ContentType="application/vnd.openxmlformats-officedocument.spreadsheetml.table+xml"/>
  <Override PartName="/xl/tables/table114.xml" ContentType="application/vnd.openxmlformats-officedocument.spreadsheetml.table+xml"/>
  <Override PartName="/xl/tables/table115.xml" ContentType="application/vnd.openxmlformats-officedocument.spreadsheetml.table+xml"/>
  <Override PartName="/xl/tables/table116.xml" ContentType="application/vnd.openxmlformats-officedocument.spreadsheetml.table+xml"/>
  <Override PartName="/xl/tables/table117.xml" ContentType="application/vnd.openxmlformats-officedocument.spreadsheetml.table+xml"/>
  <Override PartName="/xl/tables/table118.xml" ContentType="application/vnd.openxmlformats-officedocument.spreadsheetml.table+xml"/>
  <Override PartName="/xl/tables/table119.xml" ContentType="application/vnd.openxmlformats-officedocument.spreadsheetml.table+xml"/>
  <Override PartName="/xl/tables/table120.xml" ContentType="application/vnd.openxmlformats-officedocument.spreadsheetml.table+xml"/>
  <Override PartName="/xl/tables/table121.xml" ContentType="application/vnd.openxmlformats-officedocument.spreadsheetml.table+xml"/>
  <Override PartName="/xl/tables/table122.xml" ContentType="application/vnd.openxmlformats-officedocument.spreadsheetml.table+xml"/>
  <Override PartName="/xl/tables/table123.xml" ContentType="application/vnd.openxmlformats-officedocument.spreadsheetml.table+xml"/>
  <Override PartName="/xl/tables/table124.xml" ContentType="application/vnd.openxmlformats-officedocument.spreadsheetml.table+xml"/>
  <Override PartName="/xl/tables/table125.xml" ContentType="application/vnd.openxmlformats-officedocument.spreadsheetml.table+xml"/>
  <Override PartName="/xl/tables/table126.xml" ContentType="application/vnd.openxmlformats-officedocument.spreadsheetml.table+xml"/>
  <Override PartName="/xl/tables/table127.xml" ContentType="application/vnd.openxmlformats-officedocument.spreadsheetml.table+xml"/>
  <Override PartName="/xl/tables/table128.xml" ContentType="application/vnd.openxmlformats-officedocument.spreadsheetml.table+xml"/>
  <Override PartName="/xl/tables/table129.xml" ContentType="application/vnd.openxmlformats-officedocument.spreadsheetml.table+xml"/>
  <Override PartName="/xl/tables/table130.xml" ContentType="application/vnd.openxmlformats-officedocument.spreadsheetml.table+xml"/>
  <Override PartName="/xl/tables/table131.xml" ContentType="application/vnd.openxmlformats-officedocument.spreadsheetml.table+xml"/>
  <Override PartName="/xl/tables/table132.xml" ContentType="application/vnd.openxmlformats-officedocument.spreadsheetml.table+xml"/>
  <Override PartName="/xl/tables/table133.xml" ContentType="application/vnd.openxmlformats-officedocument.spreadsheetml.table+xml"/>
  <Override PartName="/xl/tables/table134.xml" ContentType="application/vnd.openxmlformats-officedocument.spreadsheetml.table+xml"/>
  <Override PartName="/xl/tables/table135.xml" ContentType="application/vnd.openxmlformats-officedocument.spreadsheetml.table+xml"/>
  <Override PartName="/xl/tables/table136.xml" ContentType="application/vnd.openxmlformats-officedocument.spreadsheetml.table+xml"/>
  <Override PartName="/xl/tables/table137.xml" ContentType="application/vnd.openxmlformats-officedocument.spreadsheetml.table+xml"/>
  <Override PartName="/xl/tables/table138.xml" ContentType="application/vnd.openxmlformats-officedocument.spreadsheetml.table+xml"/>
  <Override PartName="/xl/tables/table139.xml" ContentType="application/vnd.openxmlformats-officedocument.spreadsheetml.table+xml"/>
  <Override PartName="/xl/tables/table140.xml" ContentType="application/vnd.openxmlformats-officedocument.spreadsheetml.table+xml"/>
  <Override PartName="/xl/tables/table141.xml" ContentType="application/vnd.openxmlformats-officedocument.spreadsheetml.table+xml"/>
  <Override PartName="/xl/tables/table142.xml" ContentType="application/vnd.openxmlformats-officedocument.spreadsheetml.table+xml"/>
  <Override PartName="/xl/tables/table143.xml" ContentType="application/vnd.openxmlformats-officedocument.spreadsheetml.table+xml"/>
  <Override PartName="/xl/tables/table144.xml" ContentType="application/vnd.openxmlformats-officedocument.spreadsheetml.table+xml"/>
  <Override PartName="/xl/tables/table145.xml" ContentType="application/vnd.openxmlformats-officedocument.spreadsheetml.table+xml"/>
  <Override PartName="/xl/tables/table146.xml" ContentType="application/vnd.openxmlformats-officedocument.spreadsheetml.table+xml"/>
  <Override PartName="/xl/tables/table147.xml" ContentType="application/vnd.openxmlformats-officedocument.spreadsheetml.table+xml"/>
  <Override PartName="/xl/tables/table148.xml" ContentType="application/vnd.openxmlformats-officedocument.spreadsheetml.table+xml"/>
  <Override PartName="/xl/tables/table149.xml" ContentType="application/vnd.openxmlformats-officedocument.spreadsheetml.table+xml"/>
  <Override PartName="/xl/tables/table150.xml" ContentType="application/vnd.openxmlformats-officedocument.spreadsheetml.table+xml"/>
  <Override PartName="/xl/tables/table151.xml" ContentType="application/vnd.openxmlformats-officedocument.spreadsheetml.table+xml"/>
  <Override PartName="/xl/tables/table152.xml" ContentType="application/vnd.openxmlformats-officedocument.spreadsheetml.table+xml"/>
  <Override PartName="/xl/tables/table153.xml" ContentType="application/vnd.openxmlformats-officedocument.spreadsheetml.table+xml"/>
  <Override PartName="/xl/tables/table154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240" yWindow="372" windowWidth="11232" windowHeight="8880" tabRatio="609" activeTab="9"/>
  </bookViews>
  <sheets>
    <sheet name="JAN" sheetId="1" r:id="rId1"/>
    <sheet name="FEB" sheetId="2" r:id="rId2"/>
    <sheet name="MAR" sheetId="3" r:id="rId3"/>
    <sheet name="APR" sheetId="4" r:id="rId4"/>
    <sheet name="MAY" sheetId="5" r:id="rId5"/>
    <sheet name="JUN" sheetId="6" r:id="rId6"/>
    <sheet name="JUL" sheetId="7" r:id="rId7"/>
    <sheet name="AUG" sheetId="8" r:id="rId8"/>
    <sheet name="SEP" sheetId="9" r:id="rId9"/>
    <sheet name="OCT" sheetId="10" r:id="rId10"/>
    <sheet name="NOV" sheetId="11" r:id="rId11"/>
    <sheet name="DEC" sheetId="12" r:id="rId12"/>
    <sheet name="AVERAGES" sheetId="15" r:id="rId13"/>
    <sheet name="TOTAL" sheetId="14" r:id="rId14"/>
    <sheet name="Graph" sheetId="17" r:id="rId15"/>
    <sheet name="Sheet1" sheetId="18" r:id="rId16"/>
  </sheets>
  <definedNames>
    <definedName name="_xlnm.Print_Area" localSheetId="0">JAN!$A$1:$I$63</definedName>
    <definedName name="valuevx">42.314159</definedName>
  </definedNames>
  <calcPr calcId="162913"/>
</workbook>
</file>

<file path=xl/calcChain.xml><?xml version="1.0" encoding="utf-8"?>
<calcChain xmlns="http://schemas.openxmlformats.org/spreadsheetml/2006/main">
  <c r="C39" i="3" l="1"/>
  <c r="C59" i="15"/>
  <c r="D59" i="15" s="1"/>
  <c r="C60" i="15"/>
  <c r="D60" i="15" s="1"/>
  <c r="C61" i="15"/>
  <c r="D61" i="15" s="1"/>
  <c r="C62" i="15"/>
  <c r="D62" i="15" s="1"/>
  <c r="H59" i="15"/>
  <c r="H60" i="15"/>
  <c r="H61" i="15"/>
  <c r="H62" i="15"/>
  <c r="C52" i="15"/>
  <c r="D52" i="15" s="1"/>
  <c r="C53" i="15"/>
  <c r="D53" i="15" s="1"/>
  <c r="D54" i="15"/>
  <c r="C55" i="15"/>
  <c r="D55" i="15" s="1"/>
  <c r="H50" i="15"/>
  <c r="H51" i="15"/>
  <c r="H52" i="15"/>
  <c r="H53" i="15"/>
  <c r="H54" i="15"/>
  <c r="H55" i="15"/>
  <c r="C42" i="15"/>
  <c r="D42" i="15" s="1"/>
  <c r="C43" i="15"/>
  <c r="D43" i="15" s="1"/>
  <c r="C44" i="15"/>
  <c r="D44" i="15" s="1"/>
  <c r="C45" i="15"/>
  <c r="D45" i="15" s="1"/>
  <c r="C46" i="15"/>
  <c r="D46" i="15" s="1"/>
  <c r="C47" i="15"/>
  <c r="D47" i="15" s="1"/>
  <c r="C48" i="15"/>
  <c r="D48" i="15" s="1"/>
  <c r="H40" i="15"/>
  <c r="H42" i="15"/>
  <c r="H43" i="15"/>
  <c r="H44" i="15"/>
  <c r="H45" i="15"/>
  <c r="H23" i="15"/>
  <c r="H24" i="15"/>
  <c r="H26" i="15"/>
  <c r="H27" i="15"/>
  <c r="H30" i="15"/>
  <c r="H31" i="15"/>
  <c r="H32" i="15"/>
  <c r="H33" i="15"/>
  <c r="H34" i="15"/>
  <c r="H36" i="15"/>
  <c r="H12" i="15"/>
  <c r="H13" i="15"/>
  <c r="H14" i="15"/>
  <c r="H15" i="15"/>
  <c r="H17" i="15"/>
  <c r="H18" i="15"/>
  <c r="C32" i="15"/>
  <c r="D32" i="15" s="1"/>
  <c r="D33" i="15"/>
  <c r="D34" i="15"/>
  <c r="D35" i="15"/>
  <c r="D36" i="15"/>
  <c r="D37" i="15"/>
  <c r="D38" i="15"/>
  <c r="C16" i="15"/>
  <c r="D16" i="15" s="1"/>
  <c r="C17" i="15"/>
  <c r="D17" i="15" s="1"/>
  <c r="C18" i="15"/>
  <c r="D18" i="15" s="1"/>
  <c r="C19" i="15"/>
  <c r="C20" i="15"/>
  <c r="D20" i="15" s="1"/>
  <c r="D21" i="15"/>
  <c r="C22" i="15"/>
  <c r="D22" i="15" s="1"/>
  <c r="C24" i="15"/>
  <c r="D24" i="15" s="1"/>
  <c r="C25" i="15"/>
  <c r="D25" i="15" s="1"/>
  <c r="C26" i="15"/>
  <c r="D26" i="15" s="1"/>
  <c r="C27" i="15"/>
  <c r="C28" i="15"/>
  <c r="C6" i="15"/>
  <c r="D6" i="15" s="1"/>
  <c r="C7" i="15"/>
  <c r="D7" i="15" s="1"/>
  <c r="C8" i="15"/>
  <c r="D8" i="15" s="1"/>
  <c r="D9" i="15"/>
  <c r="D10" i="15"/>
  <c r="D11" i="15"/>
  <c r="C12" i="15"/>
  <c r="D12" i="15" s="1"/>
  <c r="F63" i="15"/>
  <c r="A63" i="15"/>
  <c r="G62" i="15"/>
  <c r="G61" i="15"/>
  <c r="G60" i="15"/>
  <c r="G59" i="15"/>
  <c r="F56" i="15"/>
  <c r="A56" i="15"/>
  <c r="G55" i="15"/>
  <c r="G54" i="15"/>
  <c r="G53" i="15"/>
  <c r="G52" i="15"/>
  <c r="G51" i="15"/>
  <c r="G50" i="15"/>
  <c r="G49" i="15"/>
  <c r="A49" i="15"/>
  <c r="F46" i="15"/>
  <c r="G45" i="15"/>
  <c r="G44" i="15"/>
  <c r="G43" i="15"/>
  <c r="G42" i="15"/>
  <c r="G41" i="15"/>
  <c r="G40" i="15"/>
  <c r="A39" i="15"/>
  <c r="F37" i="15"/>
  <c r="G36" i="15"/>
  <c r="G35" i="15"/>
  <c r="G34" i="15"/>
  <c r="G33" i="15"/>
  <c r="G32" i="15"/>
  <c r="G31" i="15"/>
  <c r="G30" i="15"/>
  <c r="G29" i="15"/>
  <c r="A29" i="15"/>
  <c r="G28" i="15"/>
  <c r="G27" i="15"/>
  <c r="G26" i="15"/>
  <c r="G25" i="15"/>
  <c r="G24" i="15"/>
  <c r="G23" i="15"/>
  <c r="F20" i="15"/>
  <c r="G19" i="15"/>
  <c r="G18" i="15"/>
  <c r="G17" i="15"/>
  <c r="G16" i="15"/>
  <c r="G15" i="15"/>
  <c r="G14" i="15"/>
  <c r="G13" i="15"/>
  <c r="A13" i="15"/>
  <c r="G12" i="15"/>
  <c r="G11" i="15"/>
  <c r="I60" i="15" l="1"/>
  <c r="G46" i="15"/>
  <c r="I27" i="15"/>
  <c r="I23" i="15"/>
  <c r="G63" i="15"/>
  <c r="I30" i="15"/>
  <c r="I62" i="15"/>
  <c r="I25" i="15"/>
  <c r="I55" i="15"/>
  <c r="I53" i="15"/>
  <c r="I51" i="15"/>
  <c r="G20" i="15"/>
  <c r="G37" i="15"/>
  <c r="G56" i="15"/>
  <c r="I54" i="15"/>
  <c r="I28" i="15"/>
  <c r="I33" i="15"/>
  <c r="I31" i="15"/>
  <c r="H37" i="15"/>
  <c r="H56" i="15"/>
  <c r="H63" i="15"/>
  <c r="I50" i="15"/>
  <c r="C29" i="15"/>
  <c r="C63" i="15"/>
  <c r="I43" i="15"/>
  <c r="I45" i="15"/>
  <c r="I41" i="15"/>
  <c r="H46" i="15"/>
  <c r="I26" i="15"/>
  <c r="I29" i="15"/>
  <c r="I34" i="15"/>
  <c r="I61" i="15"/>
  <c r="I44" i="15"/>
  <c r="C39" i="15"/>
  <c r="I35" i="15"/>
  <c r="I36" i="15"/>
  <c r="I32" i="15"/>
  <c r="I16" i="15"/>
  <c r="I12" i="15"/>
  <c r="I18" i="15"/>
  <c r="I13" i="15"/>
  <c r="I14" i="15"/>
  <c r="I15" i="15"/>
  <c r="I19" i="15"/>
  <c r="C49" i="15"/>
  <c r="C56" i="15"/>
  <c r="D63" i="15"/>
  <c r="I52" i="15"/>
  <c r="I42" i="15"/>
  <c r="I24" i="15"/>
  <c r="H20" i="15"/>
  <c r="I17" i="15"/>
  <c r="C13" i="15"/>
  <c r="H5" i="15" s="1"/>
  <c r="D23" i="15"/>
  <c r="D27" i="15"/>
  <c r="D28" i="15"/>
  <c r="D19" i="15"/>
  <c r="D56" i="15"/>
  <c r="D49" i="15"/>
  <c r="D39" i="15"/>
  <c r="I49" i="15"/>
  <c r="I59" i="15"/>
  <c r="D5" i="15"/>
  <c r="D13" i="15" s="1"/>
  <c r="I11" i="15"/>
  <c r="I40" i="1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G23" i="14"/>
  <c r="I46" i="15" l="1"/>
  <c r="I37" i="15"/>
  <c r="H6" i="15"/>
  <c r="I63" i="15"/>
  <c r="I56" i="15"/>
  <c r="I20" i="15"/>
  <c r="D29" i="15"/>
  <c r="H59" i="14"/>
  <c r="H60" i="14"/>
  <c r="H61" i="14"/>
  <c r="H62" i="14"/>
  <c r="G59" i="14"/>
  <c r="G60" i="14"/>
  <c r="G61" i="14"/>
  <c r="G62" i="14"/>
  <c r="H49" i="14"/>
  <c r="H50" i="14"/>
  <c r="H51" i="14"/>
  <c r="H52" i="14"/>
  <c r="H53" i="14"/>
  <c r="H54" i="14"/>
  <c r="H55" i="14"/>
  <c r="G49" i="14"/>
  <c r="G50" i="14"/>
  <c r="G51" i="14"/>
  <c r="G52" i="14"/>
  <c r="G53" i="14"/>
  <c r="G54" i="14"/>
  <c r="G55" i="14"/>
  <c r="H40" i="14"/>
  <c r="H41" i="14"/>
  <c r="H42" i="14"/>
  <c r="H43" i="14"/>
  <c r="H44" i="14"/>
  <c r="H45" i="14"/>
  <c r="G40" i="14"/>
  <c r="G41" i="14"/>
  <c r="G42" i="14"/>
  <c r="G43" i="14"/>
  <c r="G44" i="14"/>
  <c r="G45" i="14"/>
  <c r="H23" i="14"/>
  <c r="H24" i="14"/>
  <c r="H25" i="14"/>
  <c r="H26" i="14"/>
  <c r="H27" i="14"/>
  <c r="H28" i="14"/>
  <c r="H29" i="14"/>
  <c r="H30" i="14"/>
  <c r="H31" i="14"/>
  <c r="H32" i="14"/>
  <c r="H33" i="14"/>
  <c r="H34" i="14"/>
  <c r="H35" i="14"/>
  <c r="H36" i="14"/>
  <c r="G24" i="14"/>
  <c r="G25" i="14"/>
  <c r="G26" i="14"/>
  <c r="G27" i="14"/>
  <c r="G28" i="14"/>
  <c r="G29" i="14"/>
  <c r="G30" i="14"/>
  <c r="G31" i="14"/>
  <c r="G32" i="14"/>
  <c r="G33" i="14"/>
  <c r="G34" i="14"/>
  <c r="G35" i="14"/>
  <c r="G36" i="14"/>
  <c r="H11" i="14"/>
  <c r="H12" i="14"/>
  <c r="H13" i="14"/>
  <c r="H14" i="14"/>
  <c r="H15" i="14"/>
  <c r="H16" i="14"/>
  <c r="H17" i="14"/>
  <c r="H18" i="14"/>
  <c r="H19" i="14"/>
  <c r="G11" i="14"/>
  <c r="G12" i="14"/>
  <c r="G13" i="14"/>
  <c r="G14" i="14"/>
  <c r="G15" i="14"/>
  <c r="G16" i="14"/>
  <c r="G17" i="14"/>
  <c r="G18" i="14"/>
  <c r="G19" i="14"/>
  <c r="C59" i="14"/>
  <c r="C60" i="14"/>
  <c r="C61" i="14"/>
  <c r="C62" i="14"/>
  <c r="B59" i="14"/>
  <c r="B60" i="14"/>
  <c r="B61" i="14"/>
  <c r="B62" i="14"/>
  <c r="C52" i="14"/>
  <c r="C53" i="14"/>
  <c r="C54" i="14"/>
  <c r="C55" i="14"/>
  <c r="B52" i="14"/>
  <c r="B53" i="14"/>
  <c r="B54" i="14"/>
  <c r="B55" i="14"/>
  <c r="C42" i="14"/>
  <c r="C43" i="14"/>
  <c r="C44" i="14"/>
  <c r="C45" i="14"/>
  <c r="C46" i="14"/>
  <c r="C47" i="14"/>
  <c r="C48" i="14"/>
  <c r="B42" i="14"/>
  <c r="B43" i="14"/>
  <c r="B44" i="14"/>
  <c r="B45" i="14"/>
  <c r="B46" i="14"/>
  <c r="B47" i="14"/>
  <c r="B48" i="14"/>
  <c r="C32" i="14"/>
  <c r="C33" i="14"/>
  <c r="C34" i="14"/>
  <c r="C35" i="14"/>
  <c r="C36" i="14"/>
  <c r="C37" i="14"/>
  <c r="C38" i="14"/>
  <c r="B32" i="14"/>
  <c r="B33" i="14"/>
  <c r="B34" i="14"/>
  <c r="B35" i="14"/>
  <c r="B36" i="14"/>
  <c r="B37" i="14"/>
  <c r="B38" i="14"/>
  <c r="B28" i="14"/>
  <c r="C16" i="14"/>
  <c r="C17" i="14"/>
  <c r="C18" i="14"/>
  <c r="C19" i="14"/>
  <c r="C20" i="14"/>
  <c r="C21" i="14"/>
  <c r="C22" i="14"/>
  <c r="C23" i="14"/>
  <c r="C24" i="14"/>
  <c r="C25" i="14"/>
  <c r="C26" i="14"/>
  <c r="C27" i="14"/>
  <c r="C28" i="14"/>
  <c r="B27" i="14"/>
  <c r="B26" i="14"/>
  <c r="B25" i="14"/>
  <c r="B24" i="14"/>
  <c r="B23" i="14"/>
  <c r="B22" i="14"/>
  <c r="B21" i="14"/>
  <c r="B20" i="14"/>
  <c r="B19" i="14"/>
  <c r="B18" i="14"/>
  <c r="B17" i="14"/>
  <c r="B16" i="14"/>
  <c r="C5" i="14"/>
  <c r="C6" i="14"/>
  <c r="C7" i="14"/>
  <c r="C8" i="14"/>
  <c r="C9" i="14"/>
  <c r="C10" i="14"/>
  <c r="C11" i="14"/>
  <c r="C12" i="14"/>
  <c r="B12" i="14"/>
  <c r="B11" i="14"/>
  <c r="B10" i="14"/>
  <c r="B9" i="14"/>
  <c r="B8" i="14"/>
  <c r="B7" i="14"/>
  <c r="B6" i="14"/>
  <c r="B5" i="14"/>
  <c r="H63" i="5"/>
  <c r="G63" i="5"/>
  <c r="F63" i="5"/>
  <c r="C63" i="5"/>
  <c r="B63" i="5"/>
  <c r="A63" i="5"/>
  <c r="I62" i="5"/>
  <c r="D62" i="5"/>
  <c r="I61" i="5"/>
  <c r="D61" i="5"/>
  <c r="I60" i="5"/>
  <c r="D60" i="5"/>
  <c r="I59" i="5"/>
  <c r="D59" i="5"/>
  <c r="H56" i="5"/>
  <c r="G56" i="5"/>
  <c r="F56" i="5"/>
  <c r="C56" i="5"/>
  <c r="B56" i="5"/>
  <c r="A56" i="5"/>
  <c r="I55" i="5"/>
  <c r="D55" i="5"/>
  <c r="I54" i="5"/>
  <c r="D54" i="5"/>
  <c r="I53" i="5"/>
  <c r="D53" i="5"/>
  <c r="I52" i="5"/>
  <c r="D52" i="5"/>
  <c r="I51" i="5"/>
  <c r="I50" i="5"/>
  <c r="I49" i="5"/>
  <c r="C49" i="5"/>
  <c r="B49" i="5"/>
  <c r="A49" i="5"/>
  <c r="D48" i="5"/>
  <c r="D47" i="5"/>
  <c r="H46" i="5"/>
  <c r="G46" i="5"/>
  <c r="F46" i="5"/>
  <c r="D46" i="5"/>
  <c r="I45" i="5"/>
  <c r="D45" i="5"/>
  <c r="I44" i="5"/>
  <c r="D44" i="5"/>
  <c r="I43" i="5"/>
  <c r="D43" i="5"/>
  <c r="I42" i="5"/>
  <c r="D42" i="5"/>
  <c r="I41" i="5"/>
  <c r="I40" i="5"/>
  <c r="C39" i="5"/>
  <c r="B39" i="5"/>
  <c r="A39" i="5"/>
  <c r="D38" i="5"/>
  <c r="H37" i="5"/>
  <c r="G37" i="5"/>
  <c r="F37" i="5"/>
  <c r="D37" i="5"/>
  <c r="D36" i="5"/>
  <c r="D35" i="5"/>
  <c r="D34" i="5"/>
  <c r="D33" i="5"/>
  <c r="D32" i="5"/>
  <c r="C29" i="5"/>
  <c r="B29" i="5"/>
  <c r="A29" i="5"/>
  <c r="D28" i="5"/>
  <c r="D27" i="5"/>
  <c r="D26" i="5"/>
  <c r="D25" i="5"/>
  <c r="D24" i="5"/>
  <c r="I37" i="5"/>
  <c r="D23" i="5"/>
  <c r="D22" i="5"/>
  <c r="D21" i="5"/>
  <c r="H20" i="5"/>
  <c r="G20" i="5"/>
  <c r="F20" i="5"/>
  <c r="D20" i="5"/>
  <c r="I19" i="5"/>
  <c r="D19" i="5"/>
  <c r="I18" i="5"/>
  <c r="D18" i="5"/>
  <c r="I17" i="5"/>
  <c r="D17" i="5"/>
  <c r="I16" i="5"/>
  <c r="D16" i="5"/>
  <c r="I15" i="5"/>
  <c r="I14" i="5"/>
  <c r="I13" i="5"/>
  <c r="C13" i="5"/>
  <c r="H5" i="5" s="1"/>
  <c r="C30" i="17" s="1"/>
  <c r="B13" i="5"/>
  <c r="G5" i="5" s="1"/>
  <c r="A13" i="5"/>
  <c r="I12" i="5"/>
  <c r="D12" i="5"/>
  <c r="I11" i="5"/>
  <c r="D11" i="5"/>
  <c r="D10" i="5"/>
  <c r="D9" i="5"/>
  <c r="D8" i="5"/>
  <c r="D7" i="5"/>
  <c r="D6" i="5"/>
  <c r="D5" i="5"/>
  <c r="D56" i="5" l="1"/>
  <c r="I20" i="5"/>
  <c r="H6" i="5"/>
  <c r="I46" i="5"/>
  <c r="I56" i="5"/>
  <c r="I63" i="5"/>
  <c r="D63" i="5"/>
  <c r="D49" i="5"/>
  <c r="D39" i="5"/>
  <c r="D29" i="5"/>
  <c r="D13" i="5"/>
  <c r="H7" i="15"/>
  <c r="G6" i="5"/>
  <c r="I5" i="5"/>
  <c r="H7" i="5" l="1"/>
  <c r="D30" i="17"/>
  <c r="I6" i="5"/>
  <c r="G7" i="5"/>
  <c r="D5" i="14"/>
  <c r="H63" i="14"/>
  <c r="G63" i="14"/>
  <c r="F63" i="14"/>
  <c r="C63" i="14"/>
  <c r="B63" i="14"/>
  <c r="A63" i="14"/>
  <c r="I62" i="14"/>
  <c r="D62" i="14"/>
  <c r="I61" i="14"/>
  <c r="D61" i="14"/>
  <c r="I60" i="14"/>
  <c r="D60" i="14"/>
  <c r="I59" i="14"/>
  <c r="D59" i="14"/>
  <c r="H56" i="14"/>
  <c r="G56" i="14"/>
  <c r="F56" i="14"/>
  <c r="C56" i="14"/>
  <c r="B56" i="14"/>
  <c r="A56" i="14"/>
  <c r="I55" i="14"/>
  <c r="D55" i="14"/>
  <c r="I54" i="14"/>
  <c r="D54" i="14"/>
  <c r="I53" i="14"/>
  <c r="D53" i="14"/>
  <c r="I52" i="14"/>
  <c r="D52" i="14"/>
  <c r="I51" i="14"/>
  <c r="I50" i="14"/>
  <c r="I49" i="14"/>
  <c r="C49" i="14"/>
  <c r="B49" i="14"/>
  <c r="A49" i="14"/>
  <c r="D48" i="14"/>
  <c r="D47" i="14"/>
  <c r="H46" i="14"/>
  <c r="G46" i="14"/>
  <c r="F46" i="14"/>
  <c r="D46" i="14"/>
  <c r="I45" i="14"/>
  <c r="D45" i="14"/>
  <c r="I44" i="14"/>
  <c r="D44" i="14"/>
  <c r="I43" i="14"/>
  <c r="D43" i="14"/>
  <c r="I42" i="14"/>
  <c r="D42" i="14"/>
  <c r="I41" i="14"/>
  <c r="I40" i="14"/>
  <c r="C39" i="14"/>
  <c r="B39" i="14"/>
  <c r="A39" i="14"/>
  <c r="D38" i="14"/>
  <c r="H37" i="14"/>
  <c r="G37" i="14"/>
  <c r="F37" i="14"/>
  <c r="D37" i="14"/>
  <c r="I36" i="14"/>
  <c r="D36" i="14"/>
  <c r="I35" i="14"/>
  <c r="D35" i="14"/>
  <c r="I34" i="14"/>
  <c r="D34" i="14"/>
  <c r="I33" i="14"/>
  <c r="D33" i="14"/>
  <c r="I32" i="14"/>
  <c r="D32" i="14"/>
  <c r="I31" i="14"/>
  <c r="I30" i="14"/>
  <c r="I29" i="14"/>
  <c r="C29" i="14"/>
  <c r="B29" i="14"/>
  <c r="A29" i="14"/>
  <c r="I28" i="14"/>
  <c r="D28" i="14"/>
  <c r="I27" i="14"/>
  <c r="D27" i="14"/>
  <c r="I26" i="14"/>
  <c r="D26" i="14"/>
  <c r="I25" i="14"/>
  <c r="D25" i="14"/>
  <c r="I24" i="14"/>
  <c r="D24" i="14"/>
  <c r="I23" i="14"/>
  <c r="D23" i="14"/>
  <c r="D22" i="14"/>
  <c r="D21" i="14"/>
  <c r="H20" i="14"/>
  <c r="F20" i="14"/>
  <c r="D20" i="14"/>
  <c r="D19" i="14"/>
  <c r="D18" i="14"/>
  <c r="D17" i="14"/>
  <c r="D16" i="14"/>
  <c r="C13" i="14"/>
  <c r="H5" i="14" s="1"/>
  <c r="B13" i="14"/>
  <c r="A13" i="14"/>
  <c r="D12" i="14"/>
  <c r="D11" i="14"/>
  <c r="D10" i="14"/>
  <c r="D9" i="14"/>
  <c r="D8" i="14"/>
  <c r="D7" i="14"/>
  <c r="D6" i="14"/>
  <c r="H63" i="12"/>
  <c r="G63" i="12"/>
  <c r="F63" i="12"/>
  <c r="C63" i="12"/>
  <c r="B63" i="12"/>
  <c r="A63" i="12"/>
  <c r="I62" i="12"/>
  <c r="D62" i="12"/>
  <c r="I61" i="12"/>
  <c r="D61" i="12"/>
  <c r="I60" i="12"/>
  <c r="D60" i="12"/>
  <c r="I59" i="12"/>
  <c r="D59" i="12"/>
  <c r="H56" i="12"/>
  <c r="G56" i="12"/>
  <c r="F56" i="12"/>
  <c r="C56" i="12"/>
  <c r="B56" i="12"/>
  <c r="A56" i="12"/>
  <c r="I55" i="12"/>
  <c r="D55" i="12"/>
  <c r="I54" i="12"/>
  <c r="D54" i="12"/>
  <c r="I53" i="12"/>
  <c r="D53" i="12"/>
  <c r="I52" i="12"/>
  <c r="D52" i="12"/>
  <c r="I51" i="12"/>
  <c r="I50" i="12"/>
  <c r="I49" i="12"/>
  <c r="C49" i="12"/>
  <c r="B49" i="12"/>
  <c r="A49" i="12"/>
  <c r="D48" i="12"/>
  <c r="D47" i="12"/>
  <c r="H46" i="12"/>
  <c r="G46" i="12"/>
  <c r="F46" i="12"/>
  <c r="D46" i="12"/>
  <c r="I45" i="12"/>
  <c r="D45" i="12"/>
  <c r="I44" i="12"/>
  <c r="D44" i="12"/>
  <c r="I43" i="12"/>
  <c r="D43" i="12"/>
  <c r="I42" i="12"/>
  <c r="D42" i="12"/>
  <c r="I41" i="12"/>
  <c r="I40" i="12"/>
  <c r="I46" i="12" s="1"/>
  <c r="C39" i="12"/>
  <c r="B39" i="12"/>
  <c r="A39" i="12"/>
  <c r="D38" i="12"/>
  <c r="H37" i="12"/>
  <c r="G37" i="12"/>
  <c r="F37" i="12"/>
  <c r="D37" i="12"/>
  <c r="I36" i="12"/>
  <c r="D36" i="12"/>
  <c r="I35" i="12"/>
  <c r="D35" i="12"/>
  <c r="I34" i="12"/>
  <c r="D34" i="12"/>
  <c r="I33" i="12"/>
  <c r="D33" i="12"/>
  <c r="I32" i="12"/>
  <c r="D32" i="12"/>
  <c r="I31" i="12"/>
  <c r="I30" i="12"/>
  <c r="I29" i="12"/>
  <c r="C29" i="12"/>
  <c r="B29" i="12"/>
  <c r="A29" i="12"/>
  <c r="I28" i="12"/>
  <c r="D28" i="12"/>
  <c r="I27" i="12"/>
  <c r="D27" i="12"/>
  <c r="I26" i="12"/>
  <c r="D26" i="12"/>
  <c r="I25" i="12"/>
  <c r="D25" i="12"/>
  <c r="I24" i="12"/>
  <c r="D24" i="12"/>
  <c r="I23" i="12"/>
  <c r="D23" i="12"/>
  <c r="D22" i="12"/>
  <c r="D21" i="12"/>
  <c r="H20" i="12"/>
  <c r="G20" i="12"/>
  <c r="F20" i="12"/>
  <c r="D20" i="12"/>
  <c r="I19" i="12"/>
  <c r="D19" i="12"/>
  <c r="I18" i="12"/>
  <c r="D18" i="12"/>
  <c r="I17" i="12"/>
  <c r="D17" i="12"/>
  <c r="I16" i="12"/>
  <c r="D16" i="12"/>
  <c r="I15" i="12"/>
  <c r="I14" i="12"/>
  <c r="I13" i="12"/>
  <c r="C13" i="12"/>
  <c r="H5" i="12" s="1"/>
  <c r="B13" i="12"/>
  <c r="G5" i="12" s="1"/>
  <c r="A13" i="12"/>
  <c r="I12" i="12"/>
  <c r="D12" i="12"/>
  <c r="I11" i="12"/>
  <c r="D11" i="12"/>
  <c r="D10" i="12"/>
  <c r="D9" i="12"/>
  <c r="D8" i="12"/>
  <c r="D7" i="12"/>
  <c r="D6" i="12"/>
  <c r="D5" i="12"/>
  <c r="H63" i="11"/>
  <c r="G63" i="11"/>
  <c r="F63" i="11"/>
  <c r="C63" i="11"/>
  <c r="B63" i="11"/>
  <c r="A63" i="11"/>
  <c r="I62" i="11"/>
  <c r="D62" i="11"/>
  <c r="I61" i="11"/>
  <c r="D61" i="11"/>
  <c r="I60" i="11"/>
  <c r="D60" i="11"/>
  <c r="I59" i="11"/>
  <c r="I63" i="11" s="1"/>
  <c r="D59" i="11"/>
  <c r="D63" i="11" s="1"/>
  <c r="H56" i="11"/>
  <c r="G56" i="11"/>
  <c r="F56" i="11"/>
  <c r="C56" i="11"/>
  <c r="B56" i="11"/>
  <c r="A56" i="11"/>
  <c r="I55" i="11"/>
  <c r="D55" i="11"/>
  <c r="I54" i="11"/>
  <c r="D54" i="11"/>
  <c r="I53" i="11"/>
  <c r="D53" i="11"/>
  <c r="I52" i="11"/>
  <c r="D52" i="11"/>
  <c r="I51" i="11"/>
  <c r="I50" i="11"/>
  <c r="I49" i="11"/>
  <c r="C49" i="11"/>
  <c r="B49" i="11"/>
  <c r="A49" i="11"/>
  <c r="D48" i="11"/>
  <c r="D47" i="11"/>
  <c r="H46" i="11"/>
  <c r="G46" i="11"/>
  <c r="F46" i="11"/>
  <c r="D46" i="11"/>
  <c r="I45" i="11"/>
  <c r="D45" i="11"/>
  <c r="I44" i="11"/>
  <c r="D44" i="11"/>
  <c r="I43" i="11"/>
  <c r="D43" i="11"/>
  <c r="D49" i="11" s="1"/>
  <c r="I42" i="11"/>
  <c r="D42" i="11"/>
  <c r="I41" i="11"/>
  <c r="I40" i="11"/>
  <c r="C39" i="11"/>
  <c r="B39" i="11"/>
  <c r="A39" i="11"/>
  <c r="D38" i="11"/>
  <c r="H37" i="11"/>
  <c r="G37" i="11"/>
  <c r="F37" i="11"/>
  <c r="D37" i="11"/>
  <c r="I36" i="11"/>
  <c r="D36" i="11"/>
  <c r="I35" i="11"/>
  <c r="D35" i="11"/>
  <c r="I34" i="11"/>
  <c r="D34" i="11"/>
  <c r="I33" i="11"/>
  <c r="D33" i="11"/>
  <c r="I32" i="11"/>
  <c r="D32" i="11"/>
  <c r="I31" i="11"/>
  <c r="I30" i="11"/>
  <c r="I29" i="11"/>
  <c r="C29" i="11"/>
  <c r="B29" i="11"/>
  <c r="A29" i="11"/>
  <c r="I28" i="11"/>
  <c r="D28" i="11"/>
  <c r="I27" i="11"/>
  <c r="D27" i="11"/>
  <c r="I26" i="11"/>
  <c r="D26" i="11"/>
  <c r="I25" i="11"/>
  <c r="D25" i="11"/>
  <c r="I24" i="11"/>
  <c r="D24" i="11"/>
  <c r="I23" i="11"/>
  <c r="D23" i="11"/>
  <c r="D22" i="11"/>
  <c r="D21" i="11"/>
  <c r="H20" i="11"/>
  <c r="G20" i="11"/>
  <c r="F20" i="11"/>
  <c r="D20" i="11"/>
  <c r="I19" i="11"/>
  <c r="D19" i="11"/>
  <c r="I18" i="11"/>
  <c r="D18" i="11"/>
  <c r="I17" i="11"/>
  <c r="D17" i="11"/>
  <c r="I16" i="11"/>
  <c r="D16" i="11"/>
  <c r="I15" i="11"/>
  <c r="I14" i="11"/>
  <c r="I13" i="11"/>
  <c r="C13" i="11"/>
  <c r="H5" i="11" s="1"/>
  <c r="B13" i="11"/>
  <c r="G5" i="11" s="1"/>
  <c r="A13" i="11"/>
  <c r="I12" i="11"/>
  <c r="D12" i="11"/>
  <c r="I11" i="11"/>
  <c r="D11" i="11"/>
  <c r="D10" i="11"/>
  <c r="D9" i="11"/>
  <c r="D8" i="11"/>
  <c r="D7" i="11"/>
  <c r="D6" i="11"/>
  <c r="D5" i="11"/>
  <c r="H63" i="10"/>
  <c r="G63" i="10"/>
  <c r="F63" i="10"/>
  <c r="C63" i="10"/>
  <c r="B63" i="10"/>
  <c r="A63" i="10"/>
  <c r="I62" i="10"/>
  <c r="D62" i="10"/>
  <c r="I61" i="10"/>
  <c r="D61" i="10"/>
  <c r="I60" i="10"/>
  <c r="D60" i="10"/>
  <c r="I59" i="10"/>
  <c r="D59" i="10"/>
  <c r="H56" i="10"/>
  <c r="G56" i="10"/>
  <c r="F56" i="10"/>
  <c r="C56" i="10"/>
  <c r="B56" i="10"/>
  <c r="A56" i="10"/>
  <c r="I55" i="10"/>
  <c r="D55" i="10"/>
  <c r="I54" i="10"/>
  <c r="D54" i="10"/>
  <c r="I53" i="10"/>
  <c r="D53" i="10"/>
  <c r="I52" i="10"/>
  <c r="D52" i="10"/>
  <c r="I51" i="10"/>
  <c r="I50" i="10"/>
  <c r="I49" i="10"/>
  <c r="C49" i="10"/>
  <c r="B49" i="10"/>
  <c r="A49" i="10"/>
  <c r="D48" i="10"/>
  <c r="D47" i="10"/>
  <c r="H46" i="10"/>
  <c r="G46" i="10"/>
  <c r="F46" i="10"/>
  <c r="D46" i="10"/>
  <c r="I45" i="10"/>
  <c r="D45" i="10"/>
  <c r="I44" i="10"/>
  <c r="D44" i="10"/>
  <c r="I43" i="10"/>
  <c r="D43" i="10"/>
  <c r="I42" i="10"/>
  <c r="D42" i="10"/>
  <c r="I41" i="10"/>
  <c r="I40" i="10"/>
  <c r="C39" i="10"/>
  <c r="B39" i="10"/>
  <c r="A39" i="10"/>
  <c r="D38" i="10"/>
  <c r="H37" i="10"/>
  <c r="G37" i="10"/>
  <c r="F37" i="10"/>
  <c r="D37" i="10"/>
  <c r="I36" i="10"/>
  <c r="D36" i="10"/>
  <c r="I35" i="10"/>
  <c r="D35" i="10"/>
  <c r="I34" i="10"/>
  <c r="D34" i="10"/>
  <c r="I33" i="10"/>
  <c r="D33" i="10"/>
  <c r="I32" i="10"/>
  <c r="D32" i="10"/>
  <c r="I31" i="10"/>
  <c r="I30" i="10"/>
  <c r="I29" i="10"/>
  <c r="C29" i="10"/>
  <c r="B29" i="10"/>
  <c r="A29" i="10"/>
  <c r="I28" i="10"/>
  <c r="D28" i="10"/>
  <c r="I27" i="10"/>
  <c r="D27" i="10"/>
  <c r="I26" i="10"/>
  <c r="D26" i="10"/>
  <c r="I25" i="10"/>
  <c r="D25" i="10"/>
  <c r="I24" i="10"/>
  <c r="D24" i="10"/>
  <c r="I23" i="10"/>
  <c r="D23" i="10"/>
  <c r="D22" i="10"/>
  <c r="D21" i="10"/>
  <c r="H20" i="10"/>
  <c r="G20" i="10"/>
  <c r="F20" i="10"/>
  <c r="D20" i="10"/>
  <c r="I19" i="10"/>
  <c r="D19" i="10"/>
  <c r="I18" i="10"/>
  <c r="D18" i="10"/>
  <c r="I17" i="10"/>
  <c r="D17" i="10"/>
  <c r="I16" i="10"/>
  <c r="D16" i="10"/>
  <c r="I15" i="10"/>
  <c r="I14" i="10"/>
  <c r="I13" i="10"/>
  <c r="C13" i="10"/>
  <c r="H5" i="10" s="1"/>
  <c r="B13" i="10"/>
  <c r="G5" i="10" s="1"/>
  <c r="A13" i="10"/>
  <c r="I12" i="10"/>
  <c r="D12" i="10"/>
  <c r="I11" i="10"/>
  <c r="D11" i="10"/>
  <c r="D10" i="10"/>
  <c r="D9" i="10"/>
  <c r="D8" i="10"/>
  <c r="D7" i="10"/>
  <c r="D6" i="10"/>
  <c r="D5" i="10"/>
  <c r="H63" i="9"/>
  <c r="G63" i="9"/>
  <c r="F63" i="9"/>
  <c r="C63" i="9"/>
  <c r="B63" i="9"/>
  <c r="A63" i="9"/>
  <c r="I62" i="9"/>
  <c r="D62" i="9"/>
  <c r="I61" i="9"/>
  <c r="D61" i="9"/>
  <c r="I60" i="9"/>
  <c r="D60" i="9"/>
  <c r="I59" i="9"/>
  <c r="D59" i="9"/>
  <c r="H56" i="9"/>
  <c r="G56" i="9"/>
  <c r="F56" i="9"/>
  <c r="C56" i="9"/>
  <c r="B56" i="9"/>
  <c r="A56" i="9"/>
  <c r="I55" i="9"/>
  <c r="D55" i="9"/>
  <c r="I54" i="9"/>
  <c r="D54" i="9"/>
  <c r="I53" i="9"/>
  <c r="D53" i="9"/>
  <c r="I52" i="9"/>
  <c r="D52" i="9"/>
  <c r="I51" i="9"/>
  <c r="I50" i="9"/>
  <c r="I49" i="9"/>
  <c r="C49" i="9"/>
  <c r="B49" i="9"/>
  <c r="A49" i="9"/>
  <c r="D48" i="9"/>
  <c r="D47" i="9"/>
  <c r="H46" i="9"/>
  <c r="G46" i="9"/>
  <c r="F46" i="9"/>
  <c r="D46" i="9"/>
  <c r="I45" i="9"/>
  <c r="D45" i="9"/>
  <c r="I44" i="9"/>
  <c r="D44" i="9"/>
  <c r="I43" i="9"/>
  <c r="D43" i="9"/>
  <c r="I42" i="9"/>
  <c r="D42" i="9"/>
  <c r="I41" i="9"/>
  <c r="I40" i="9"/>
  <c r="C39" i="9"/>
  <c r="B39" i="9"/>
  <c r="A39" i="9"/>
  <c r="D38" i="9"/>
  <c r="H37" i="9"/>
  <c r="G37" i="9"/>
  <c r="F37" i="9"/>
  <c r="D37" i="9"/>
  <c r="I36" i="9"/>
  <c r="D36" i="9"/>
  <c r="I35" i="9"/>
  <c r="D35" i="9"/>
  <c r="I34" i="9"/>
  <c r="D34" i="9"/>
  <c r="I33" i="9"/>
  <c r="D33" i="9"/>
  <c r="I32" i="9"/>
  <c r="D32" i="9"/>
  <c r="I31" i="9"/>
  <c r="I30" i="9"/>
  <c r="I29" i="9"/>
  <c r="C29" i="9"/>
  <c r="B29" i="9"/>
  <c r="A29" i="9"/>
  <c r="I28" i="9"/>
  <c r="D28" i="9"/>
  <c r="I27" i="9"/>
  <c r="D27" i="9"/>
  <c r="I26" i="9"/>
  <c r="D26" i="9"/>
  <c r="I25" i="9"/>
  <c r="D25" i="9"/>
  <c r="I24" i="9"/>
  <c r="D24" i="9"/>
  <c r="I23" i="9"/>
  <c r="D23" i="9"/>
  <c r="D22" i="9"/>
  <c r="D21" i="9"/>
  <c r="H20" i="9"/>
  <c r="G20" i="9"/>
  <c r="F20" i="9"/>
  <c r="D20" i="9"/>
  <c r="I19" i="9"/>
  <c r="D19" i="9"/>
  <c r="I18" i="9"/>
  <c r="D18" i="9"/>
  <c r="I17" i="9"/>
  <c r="D17" i="9"/>
  <c r="I16" i="9"/>
  <c r="D16" i="9"/>
  <c r="I15" i="9"/>
  <c r="I14" i="9"/>
  <c r="I13" i="9"/>
  <c r="C13" i="9"/>
  <c r="H5" i="9" s="1"/>
  <c r="C34" i="17" s="1"/>
  <c r="B13" i="9"/>
  <c r="G5" i="9" s="1"/>
  <c r="A13" i="9"/>
  <c r="I12" i="9"/>
  <c r="D12" i="9"/>
  <c r="I11" i="9"/>
  <c r="D11" i="9"/>
  <c r="D10" i="9"/>
  <c r="D9" i="9"/>
  <c r="D8" i="9"/>
  <c r="D7" i="9"/>
  <c r="D6" i="9"/>
  <c r="D5" i="9"/>
  <c r="H63" i="8"/>
  <c r="G63" i="8"/>
  <c r="F63" i="8"/>
  <c r="C63" i="8"/>
  <c r="B63" i="8"/>
  <c r="A63" i="8"/>
  <c r="I62" i="8"/>
  <c r="D62" i="8"/>
  <c r="I61" i="8"/>
  <c r="D61" i="8"/>
  <c r="I60" i="8"/>
  <c r="D60" i="8"/>
  <c r="I59" i="8"/>
  <c r="D59" i="8"/>
  <c r="H56" i="8"/>
  <c r="G56" i="8"/>
  <c r="F56" i="8"/>
  <c r="C56" i="8"/>
  <c r="B56" i="8"/>
  <c r="A56" i="8"/>
  <c r="I55" i="8"/>
  <c r="D55" i="8"/>
  <c r="I54" i="8"/>
  <c r="D54" i="8"/>
  <c r="I53" i="8"/>
  <c r="D53" i="8"/>
  <c r="I52" i="8"/>
  <c r="D52" i="8"/>
  <c r="I51" i="8"/>
  <c r="I50" i="8"/>
  <c r="I49" i="8"/>
  <c r="C49" i="8"/>
  <c r="B49" i="8"/>
  <c r="A49" i="8"/>
  <c r="D48" i="8"/>
  <c r="D47" i="8"/>
  <c r="H46" i="8"/>
  <c r="G46" i="8"/>
  <c r="F46" i="8"/>
  <c r="D46" i="8"/>
  <c r="I45" i="8"/>
  <c r="D45" i="8"/>
  <c r="I44" i="8"/>
  <c r="D44" i="8"/>
  <c r="I43" i="8"/>
  <c r="D43" i="8"/>
  <c r="I42" i="8"/>
  <c r="D42" i="8"/>
  <c r="I41" i="8"/>
  <c r="I40" i="8"/>
  <c r="C39" i="8"/>
  <c r="B39" i="8"/>
  <c r="A39" i="8"/>
  <c r="D38" i="8"/>
  <c r="H37" i="8"/>
  <c r="G37" i="8"/>
  <c r="F37" i="8"/>
  <c r="D37" i="8"/>
  <c r="I36" i="8"/>
  <c r="D36" i="8"/>
  <c r="I35" i="8"/>
  <c r="D35" i="8"/>
  <c r="I34" i="8"/>
  <c r="D34" i="8"/>
  <c r="I33" i="8"/>
  <c r="D33" i="8"/>
  <c r="I32" i="8"/>
  <c r="D32" i="8"/>
  <c r="I31" i="8"/>
  <c r="I30" i="8"/>
  <c r="I29" i="8"/>
  <c r="C29" i="8"/>
  <c r="B29" i="8"/>
  <c r="A29" i="8"/>
  <c r="I28" i="8"/>
  <c r="D28" i="8"/>
  <c r="I27" i="8"/>
  <c r="D27" i="8"/>
  <c r="I26" i="8"/>
  <c r="D26" i="8"/>
  <c r="I25" i="8"/>
  <c r="D25" i="8"/>
  <c r="I24" i="8"/>
  <c r="D24" i="8"/>
  <c r="I23" i="8"/>
  <c r="D23" i="8"/>
  <c r="D22" i="8"/>
  <c r="D21" i="8"/>
  <c r="H20" i="8"/>
  <c r="G20" i="8"/>
  <c r="F20" i="8"/>
  <c r="D20" i="8"/>
  <c r="I19" i="8"/>
  <c r="D19" i="8"/>
  <c r="I18" i="8"/>
  <c r="D18" i="8"/>
  <c r="I17" i="8"/>
  <c r="D17" i="8"/>
  <c r="I16" i="8"/>
  <c r="D16" i="8"/>
  <c r="I15" i="8"/>
  <c r="I14" i="8"/>
  <c r="I13" i="8"/>
  <c r="C13" i="8"/>
  <c r="H5" i="8" s="1"/>
  <c r="C33" i="17" s="1"/>
  <c r="B13" i="8"/>
  <c r="G5" i="8" s="1"/>
  <c r="A13" i="8"/>
  <c r="I12" i="8"/>
  <c r="D12" i="8"/>
  <c r="I11" i="8"/>
  <c r="D11" i="8"/>
  <c r="D10" i="8"/>
  <c r="D9" i="8"/>
  <c r="D8" i="8"/>
  <c r="D7" i="8"/>
  <c r="D6" i="8"/>
  <c r="D5" i="8"/>
  <c r="H63" i="7"/>
  <c r="G63" i="7"/>
  <c r="F63" i="7"/>
  <c r="C63" i="7"/>
  <c r="B63" i="7"/>
  <c r="A63" i="7"/>
  <c r="I62" i="7"/>
  <c r="D62" i="7"/>
  <c r="I61" i="7"/>
  <c r="D61" i="7"/>
  <c r="I60" i="7"/>
  <c r="D60" i="7"/>
  <c r="I59" i="7"/>
  <c r="D59" i="7"/>
  <c r="H56" i="7"/>
  <c r="G56" i="7"/>
  <c r="F56" i="7"/>
  <c r="C56" i="7"/>
  <c r="B56" i="7"/>
  <c r="A56" i="7"/>
  <c r="I55" i="7"/>
  <c r="D55" i="7"/>
  <c r="I54" i="7"/>
  <c r="D54" i="7"/>
  <c r="I53" i="7"/>
  <c r="D53" i="7"/>
  <c r="I52" i="7"/>
  <c r="D52" i="7"/>
  <c r="I51" i="7"/>
  <c r="I50" i="7"/>
  <c r="I49" i="7"/>
  <c r="C49" i="7"/>
  <c r="B49" i="7"/>
  <c r="A49" i="7"/>
  <c r="D48" i="7"/>
  <c r="D47" i="7"/>
  <c r="H46" i="7"/>
  <c r="G46" i="7"/>
  <c r="F46" i="7"/>
  <c r="D46" i="7"/>
  <c r="I45" i="7"/>
  <c r="D45" i="7"/>
  <c r="I44" i="7"/>
  <c r="D44" i="7"/>
  <c r="I43" i="7"/>
  <c r="D43" i="7"/>
  <c r="I42" i="7"/>
  <c r="D42" i="7"/>
  <c r="I41" i="7"/>
  <c r="I40" i="7"/>
  <c r="C39" i="7"/>
  <c r="B39" i="7"/>
  <c r="A39" i="7"/>
  <c r="D38" i="7"/>
  <c r="H37" i="7"/>
  <c r="G37" i="7"/>
  <c r="F37" i="7"/>
  <c r="D37" i="7"/>
  <c r="I36" i="7"/>
  <c r="D36" i="7"/>
  <c r="I35" i="7"/>
  <c r="D35" i="7"/>
  <c r="I34" i="7"/>
  <c r="D34" i="7"/>
  <c r="I33" i="7"/>
  <c r="D33" i="7"/>
  <c r="I32" i="7"/>
  <c r="D32" i="7"/>
  <c r="I31" i="7"/>
  <c r="I30" i="7"/>
  <c r="I29" i="7"/>
  <c r="C29" i="7"/>
  <c r="B29" i="7"/>
  <c r="A29" i="7"/>
  <c r="I28" i="7"/>
  <c r="D28" i="7"/>
  <c r="I27" i="7"/>
  <c r="D27" i="7"/>
  <c r="I26" i="7"/>
  <c r="D26" i="7"/>
  <c r="I25" i="7"/>
  <c r="D25" i="7"/>
  <c r="I24" i="7"/>
  <c r="D24" i="7"/>
  <c r="I23" i="7"/>
  <c r="D23" i="7"/>
  <c r="D22" i="7"/>
  <c r="D21" i="7"/>
  <c r="H20" i="7"/>
  <c r="G20" i="7"/>
  <c r="F20" i="7"/>
  <c r="D20" i="7"/>
  <c r="I19" i="7"/>
  <c r="D19" i="7"/>
  <c r="I18" i="7"/>
  <c r="D18" i="7"/>
  <c r="I17" i="7"/>
  <c r="D17" i="7"/>
  <c r="I16" i="7"/>
  <c r="D16" i="7"/>
  <c r="I15" i="7"/>
  <c r="I14" i="7"/>
  <c r="I13" i="7"/>
  <c r="C13" i="7"/>
  <c r="H5" i="7" s="1"/>
  <c r="C32" i="17" s="1"/>
  <c r="B13" i="7"/>
  <c r="G5" i="7" s="1"/>
  <c r="A13" i="7"/>
  <c r="I12" i="7"/>
  <c r="D12" i="7"/>
  <c r="I11" i="7"/>
  <c r="D11" i="7"/>
  <c r="D10" i="7"/>
  <c r="D9" i="7"/>
  <c r="D8" i="7"/>
  <c r="D7" i="7"/>
  <c r="D6" i="7"/>
  <c r="D5" i="7"/>
  <c r="H63" i="4"/>
  <c r="G63" i="4"/>
  <c r="F63" i="4"/>
  <c r="C63" i="4"/>
  <c r="B63" i="4"/>
  <c r="A63" i="4"/>
  <c r="I62" i="4"/>
  <c r="D62" i="4"/>
  <c r="I61" i="4"/>
  <c r="D61" i="4"/>
  <c r="I60" i="4"/>
  <c r="D60" i="4"/>
  <c r="I59" i="4"/>
  <c r="D59" i="4"/>
  <c r="H56" i="4"/>
  <c r="G56" i="4"/>
  <c r="F56" i="4"/>
  <c r="C56" i="4"/>
  <c r="B56" i="4"/>
  <c r="A56" i="4"/>
  <c r="I55" i="4"/>
  <c r="D55" i="4"/>
  <c r="I54" i="4"/>
  <c r="D54" i="4"/>
  <c r="I53" i="4"/>
  <c r="D53" i="4"/>
  <c r="I52" i="4"/>
  <c r="D52" i="4"/>
  <c r="I51" i="4"/>
  <c r="I50" i="4"/>
  <c r="I49" i="4"/>
  <c r="C49" i="4"/>
  <c r="B49" i="4"/>
  <c r="A49" i="4"/>
  <c r="D48" i="4"/>
  <c r="D47" i="4"/>
  <c r="H46" i="4"/>
  <c r="G46" i="4"/>
  <c r="F46" i="4"/>
  <c r="D46" i="4"/>
  <c r="I45" i="4"/>
  <c r="D45" i="4"/>
  <c r="I44" i="4"/>
  <c r="D44" i="4"/>
  <c r="I43" i="4"/>
  <c r="D43" i="4"/>
  <c r="I42" i="4"/>
  <c r="D42" i="4"/>
  <c r="I41" i="4"/>
  <c r="I40" i="4"/>
  <c r="C39" i="4"/>
  <c r="B39" i="4"/>
  <c r="A39" i="4"/>
  <c r="D38" i="4"/>
  <c r="H37" i="4"/>
  <c r="G37" i="4"/>
  <c r="F37" i="4"/>
  <c r="D37" i="4"/>
  <c r="I36" i="4"/>
  <c r="D36" i="4"/>
  <c r="I35" i="4"/>
  <c r="D35" i="4"/>
  <c r="I34" i="4"/>
  <c r="D34" i="4"/>
  <c r="I33" i="4"/>
  <c r="D33" i="4"/>
  <c r="I32" i="4"/>
  <c r="D32" i="4"/>
  <c r="I31" i="4"/>
  <c r="I30" i="4"/>
  <c r="I29" i="4"/>
  <c r="C29" i="4"/>
  <c r="B29" i="4"/>
  <c r="A29" i="4"/>
  <c r="I28" i="4"/>
  <c r="D28" i="4"/>
  <c r="I27" i="4"/>
  <c r="D27" i="4"/>
  <c r="I26" i="4"/>
  <c r="D26" i="4"/>
  <c r="I25" i="4"/>
  <c r="D25" i="4"/>
  <c r="I24" i="4"/>
  <c r="D24" i="4"/>
  <c r="I23" i="4"/>
  <c r="D23" i="4"/>
  <c r="D22" i="4"/>
  <c r="D21" i="4"/>
  <c r="H20" i="4"/>
  <c r="G20" i="4"/>
  <c r="F20" i="4"/>
  <c r="D20" i="4"/>
  <c r="I19" i="4"/>
  <c r="D19" i="4"/>
  <c r="I18" i="4"/>
  <c r="D18" i="4"/>
  <c r="I17" i="4"/>
  <c r="D17" i="4"/>
  <c r="I16" i="4"/>
  <c r="D16" i="4"/>
  <c r="I15" i="4"/>
  <c r="I14" i="4"/>
  <c r="I13" i="4"/>
  <c r="C13" i="4"/>
  <c r="H5" i="4" s="1"/>
  <c r="C29" i="17" s="1"/>
  <c r="B13" i="4"/>
  <c r="G5" i="4" s="1"/>
  <c r="A13" i="4"/>
  <c r="I12" i="4"/>
  <c r="D12" i="4"/>
  <c r="I11" i="4"/>
  <c r="D11" i="4"/>
  <c r="D10" i="4"/>
  <c r="D9" i="4"/>
  <c r="D8" i="4"/>
  <c r="D7" i="4"/>
  <c r="D6" i="4"/>
  <c r="D5" i="4"/>
  <c r="H63" i="3"/>
  <c r="G63" i="3"/>
  <c r="F63" i="3"/>
  <c r="C63" i="3"/>
  <c r="B63" i="3"/>
  <c r="A63" i="3"/>
  <c r="I62" i="3"/>
  <c r="D62" i="3"/>
  <c r="I61" i="3"/>
  <c r="D61" i="3"/>
  <c r="I60" i="3"/>
  <c r="D60" i="3"/>
  <c r="I59" i="3"/>
  <c r="D59" i="3"/>
  <c r="H56" i="3"/>
  <c r="G56" i="3"/>
  <c r="F56" i="3"/>
  <c r="C56" i="3"/>
  <c r="B56" i="3"/>
  <c r="A56" i="3"/>
  <c r="I55" i="3"/>
  <c r="D55" i="3"/>
  <c r="I54" i="3"/>
  <c r="D54" i="3"/>
  <c r="I53" i="3"/>
  <c r="D53" i="3"/>
  <c r="I52" i="3"/>
  <c r="D52" i="3"/>
  <c r="I51" i="3"/>
  <c r="I50" i="3"/>
  <c r="I49" i="3"/>
  <c r="C49" i="3"/>
  <c r="B49" i="3"/>
  <c r="A49" i="3"/>
  <c r="D48" i="3"/>
  <c r="D47" i="3"/>
  <c r="H46" i="3"/>
  <c r="G46" i="3"/>
  <c r="F46" i="3"/>
  <c r="D46" i="3"/>
  <c r="I45" i="3"/>
  <c r="D45" i="3"/>
  <c r="I44" i="3"/>
  <c r="D44" i="3"/>
  <c r="I43" i="3"/>
  <c r="D43" i="3"/>
  <c r="I42" i="3"/>
  <c r="D42" i="3"/>
  <c r="I41" i="3"/>
  <c r="I40" i="3"/>
  <c r="A39" i="3"/>
  <c r="D38" i="3"/>
  <c r="H37" i="3"/>
  <c r="G37" i="3"/>
  <c r="F37" i="3"/>
  <c r="D37" i="3"/>
  <c r="I36" i="3"/>
  <c r="D36" i="3"/>
  <c r="I35" i="3"/>
  <c r="D35" i="3"/>
  <c r="I34" i="3"/>
  <c r="D34" i="3"/>
  <c r="I33" i="3"/>
  <c r="D33" i="3"/>
  <c r="I32" i="3"/>
  <c r="D32" i="3"/>
  <c r="I31" i="3"/>
  <c r="I30" i="3"/>
  <c r="I29" i="3"/>
  <c r="C29" i="3"/>
  <c r="B29" i="3"/>
  <c r="A29" i="3"/>
  <c r="I28" i="3"/>
  <c r="D28" i="3"/>
  <c r="I27" i="3"/>
  <c r="D27" i="3"/>
  <c r="I26" i="3"/>
  <c r="D26" i="3"/>
  <c r="I25" i="3"/>
  <c r="D25" i="3"/>
  <c r="I24" i="3"/>
  <c r="D24" i="3"/>
  <c r="I23" i="3"/>
  <c r="D23" i="3"/>
  <c r="D22" i="3"/>
  <c r="D21" i="3"/>
  <c r="H20" i="3"/>
  <c r="G20" i="3"/>
  <c r="F20" i="3"/>
  <c r="D20" i="3"/>
  <c r="I19" i="3"/>
  <c r="D19" i="3"/>
  <c r="I18" i="3"/>
  <c r="D18" i="3"/>
  <c r="I17" i="3"/>
  <c r="D17" i="3"/>
  <c r="I16" i="3"/>
  <c r="D16" i="3"/>
  <c r="I15" i="3"/>
  <c r="I14" i="3"/>
  <c r="I13" i="3"/>
  <c r="C13" i="3"/>
  <c r="H5" i="3" s="1"/>
  <c r="C28" i="17" s="1"/>
  <c r="B13" i="3"/>
  <c r="G5" i="3" s="1"/>
  <c r="A13" i="3"/>
  <c r="I12" i="3"/>
  <c r="D12" i="3"/>
  <c r="I11" i="3"/>
  <c r="D11" i="3"/>
  <c r="D10" i="3"/>
  <c r="D9" i="3"/>
  <c r="D8" i="3"/>
  <c r="D7" i="3"/>
  <c r="D6" i="3"/>
  <c r="D5" i="3"/>
  <c r="H63" i="2"/>
  <c r="G63" i="2"/>
  <c r="F63" i="2"/>
  <c r="C63" i="2"/>
  <c r="B63" i="2"/>
  <c r="A63" i="2"/>
  <c r="I62" i="2"/>
  <c r="D62" i="2"/>
  <c r="I61" i="2"/>
  <c r="D61" i="2"/>
  <c r="I60" i="2"/>
  <c r="D60" i="2"/>
  <c r="I59" i="2"/>
  <c r="D59" i="2"/>
  <c r="H56" i="2"/>
  <c r="G56" i="2"/>
  <c r="F56" i="2"/>
  <c r="C56" i="2"/>
  <c r="B56" i="2"/>
  <c r="A56" i="2"/>
  <c r="I55" i="2"/>
  <c r="D55" i="2"/>
  <c r="I54" i="2"/>
  <c r="D54" i="2"/>
  <c r="I53" i="2"/>
  <c r="D53" i="2"/>
  <c r="I52" i="2"/>
  <c r="D52" i="2"/>
  <c r="I51" i="2"/>
  <c r="I50" i="2"/>
  <c r="I49" i="2"/>
  <c r="C49" i="2"/>
  <c r="B49" i="2"/>
  <c r="A49" i="2"/>
  <c r="D48" i="2"/>
  <c r="D47" i="2"/>
  <c r="H46" i="2"/>
  <c r="G46" i="2"/>
  <c r="F46" i="2"/>
  <c r="D46" i="2"/>
  <c r="I45" i="2"/>
  <c r="D45" i="2"/>
  <c r="I44" i="2"/>
  <c r="D44" i="2"/>
  <c r="I43" i="2"/>
  <c r="D43" i="2"/>
  <c r="I42" i="2"/>
  <c r="D42" i="2"/>
  <c r="I41" i="2"/>
  <c r="I40" i="2"/>
  <c r="C39" i="2"/>
  <c r="B39" i="2"/>
  <c r="A39" i="2"/>
  <c r="D38" i="2"/>
  <c r="H37" i="2"/>
  <c r="G37" i="2"/>
  <c r="F37" i="2"/>
  <c r="D37" i="2"/>
  <c r="I36" i="2"/>
  <c r="D36" i="2"/>
  <c r="I35" i="2"/>
  <c r="D35" i="2"/>
  <c r="I34" i="2"/>
  <c r="D34" i="2"/>
  <c r="I33" i="2"/>
  <c r="D33" i="2"/>
  <c r="I32" i="2"/>
  <c r="D32" i="2"/>
  <c r="I31" i="2"/>
  <c r="I30" i="2"/>
  <c r="I29" i="2"/>
  <c r="C29" i="2"/>
  <c r="B29" i="2"/>
  <c r="A29" i="2"/>
  <c r="I28" i="2"/>
  <c r="D28" i="2"/>
  <c r="I27" i="2"/>
  <c r="D27" i="2"/>
  <c r="I26" i="2"/>
  <c r="D26" i="2"/>
  <c r="I25" i="2"/>
  <c r="D25" i="2"/>
  <c r="I24" i="2"/>
  <c r="D24" i="2"/>
  <c r="I23" i="2"/>
  <c r="D23" i="2"/>
  <c r="D22" i="2"/>
  <c r="D21" i="2"/>
  <c r="H20" i="2"/>
  <c r="G20" i="2"/>
  <c r="F20" i="2"/>
  <c r="D20" i="2"/>
  <c r="I19" i="2"/>
  <c r="D19" i="2"/>
  <c r="I18" i="2"/>
  <c r="D18" i="2"/>
  <c r="I17" i="2"/>
  <c r="D17" i="2"/>
  <c r="I16" i="2"/>
  <c r="D16" i="2"/>
  <c r="I15" i="2"/>
  <c r="I14" i="2"/>
  <c r="I13" i="2"/>
  <c r="C13" i="2"/>
  <c r="H5" i="2" s="1"/>
  <c r="C27" i="17" s="1"/>
  <c r="B13" i="2"/>
  <c r="G5" i="2" s="1"/>
  <c r="A13" i="2"/>
  <c r="I12" i="2"/>
  <c r="D12" i="2"/>
  <c r="I11" i="2"/>
  <c r="D11" i="2"/>
  <c r="D10" i="2"/>
  <c r="D9" i="2"/>
  <c r="D8" i="2"/>
  <c r="D7" i="2"/>
  <c r="D6" i="2"/>
  <c r="D5" i="2"/>
  <c r="H63" i="6"/>
  <c r="G63" i="6"/>
  <c r="F63" i="6"/>
  <c r="C63" i="6"/>
  <c r="B63" i="6"/>
  <c r="A63" i="6"/>
  <c r="I62" i="6"/>
  <c r="D62" i="6"/>
  <c r="I61" i="6"/>
  <c r="D61" i="6"/>
  <c r="I60" i="6"/>
  <c r="D60" i="6"/>
  <c r="I59" i="6"/>
  <c r="D59" i="6"/>
  <c r="H56" i="6"/>
  <c r="G56" i="6"/>
  <c r="F56" i="6"/>
  <c r="C56" i="6"/>
  <c r="B56" i="6"/>
  <c r="A56" i="6"/>
  <c r="I55" i="6"/>
  <c r="D55" i="6"/>
  <c r="I54" i="6"/>
  <c r="D54" i="6"/>
  <c r="I53" i="6"/>
  <c r="D53" i="6"/>
  <c r="I52" i="6"/>
  <c r="D52" i="6"/>
  <c r="I51" i="6"/>
  <c r="I50" i="6"/>
  <c r="I49" i="6"/>
  <c r="C49" i="6"/>
  <c r="B49" i="6"/>
  <c r="A49" i="6"/>
  <c r="D48" i="6"/>
  <c r="D47" i="6"/>
  <c r="H46" i="6"/>
  <c r="G46" i="6"/>
  <c r="F46" i="6"/>
  <c r="D46" i="6"/>
  <c r="I45" i="6"/>
  <c r="D45" i="6"/>
  <c r="I44" i="6"/>
  <c r="D44" i="6"/>
  <c r="I43" i="6"/>
  <c r="D43" i="6"/>
  <c r="I42" i="6"/>
  <c r="D42" i="6"/>
  <c r="I41" i="6"/>
  <c r="I40" i="6"/>
  <c r="C39" i="6"/>
  <c r="B39" i="6"/>
  <c r="A39" i="6"/>
  <c r="D38" i="6"/>
  <c r="H37" i="6"/>
  <c r="G37" i="6"/>
  <c r="F37" i="6"/>
  <c r="D37" i="6"/>
  <c r="I36" i="6"/>
  <c r="D36" i="6"/>
  <c r="I35" i="6"/>
  <c r="D35" i="6"/>
  <c r="I34" i="6"/>
  <c r="D34" i="6"/>
  <c r="I33" i="6"/>
  <c r="D33" i="6"/>
  <c r="I32" i="6"/>
  <c r="D32" i="6"/>
  <c r="I31" i="6"/>
  <c r="I30" i="6"/>
  <c r="I29" i="6"/>
  <c r="C29" i="6"/>
  <c r="B29" i="6"/>
  <c r="A29" i="6"/>
  <c r="I28" i="6"/>
  <c r="D28" i="6"/>
  <c r="I27" i="6"/>
  <c r="D27" i="6"/>
  <c r="I26" i="6"/>
  <c r="D26" i="6"/>
  <c r="I25" i="6"/>
  <c r="D25" i="6"/>
  <c r="I24" i="6"/>
  <c r="D24" i="6"/>
  <c r="I23" i="6"/>
  <c r="D23" i="6"/>
  <c r="D22" i="6"/>
  <c r="D21" i="6"/>
  <c r="H20" i="6"/>
  <c r="G20" i="6"/>
  <c r="F20" i="6"/>
  <c r="D20" i="6"/>
  <c r="I19" i="6"/>
  <c r="D19" i="6"/>
  <c r="I18" i="6"/>
  <c r="D18" i="6"/>
  <c r="I17" i="6"/>
  <c r="D17" i="6"/>
  <c r="I16" i="6"/>
  <c r="D16" i="6"/>
  <c r="I15" i="6"/>
  <c r="I14" i="6"/>
  <c r="I13" i="6"/>
  <c r="C13" i="6"/>
  <c r="H5" i="6" s="1"/>
  <c r="C31" i="17" s="1"/>
  <c r="B13" i="6"/>
  <c r="G5" i="6" s="1"/>
  <c r="A13" i="6"/>
  <c r="I12" i="6"/>
  <c r="D12" i="6"/>
  <c r="I11" i="6"/>
  <c r="D11" i="6"/>
  <c r="D10" i="6"/>
  <c r="D9" i="6"/>
  <c r="D8" i="6"/>
  <c r="D7" i="6"/>
  <c r="D6" i="6"/>
  <c r="D5" i="6"/>
  <c r="I46" i="8" l="1"/>
  <c r="D63" i="10"/>
  <c r="I46" i="11"/>
  <c r="D49" i="12"/>
  <c r="D63" i="12"/>
  <c r="I63" i="10"/>
  <c r="I63" i="12"/>
  <c r="I63" i="8"/>
  <c r="I7" i="5"/>
  <c r="D56" i="7"/>
  <c r="D63" i="8"/>
  <c r="D56" i="9"/>
  <c r="I37" i="10"/>
  <c r="I46" i="10"/>
  <c r="I37" i="11"/>
  <c r="I37" i="12"/>
  <c r="D56" i="10"/>
  <c r="D13" i="11"/>
  <c r="D56" i="11"/>
  <c r="D13" i="12"/>
  <c r="D56" i="12"/>
  <c r="D63" i="4"/>
  <c r="I46" i="7"/>
  <c r="D56" i="8"/>
  <c r="I46" i="9"/>
  <c r="D63" i="9"/>
  <c r="I56" i="12"/>
  <c r="D39" i="12"/>
  <c r="G6" i="12"/>
  <c r="G7" i="12" s="1"/>
  <c r="I20" i="12"/>
  <c r="H6" i="12"/>
  <c r="D37" i="17" s="1"/>
  <c r="D29" i="12"/>
  <c r="C37" i="17"/>
  <c r="I56" i="11"/>
  <c r="I20" i="11"/>
  <c r="D39" i="11"/>
  <c r="G6" i="11"/>
  <c r="G7" i="11" s="1"/>
  <c r="H6" i="11"/>
  <c r="D36" i="17" s="1"/>
  <c r="D29" i="11"/>
  <c r="C36" i="17"/>
  <c r="I20" i="10"/>
  <c r="I56" i="10"/>
  <c r="D49" i="10"/>
  <c r="D39" i="10"/>
  <c r="G6" i="10"/>
  <c r="G7" i="10" s="1"/>
  <c r="D29" i="10"/>
  <c r="H6" i="10"/>
  <c r="D35" i="17" s="1"/>
  <c r="C35" i="17"/>
  <c r="D13" i="10"/>
  <c r="I20" i="9"/>
  <c r="I37" i="9"/>
  <c r="I56" i="9"/>
  <c r="G6" i="9"/>
  <c r="G7" i="9" s="1"/>
  <c r="D39" i="8"/>
  <c r="G6" i="8"/>
  <c r="G7" i="8" s="1"/>
  <c r="I37" i="8"/>
  <c r="I5" i="8"/>
  <c r="I56" i="7"/>
  <c r="D39" i="7"/>
  <c r="D13" i="7"/>
  <c r="I63" i="6"/>
  <c r="G6" i="6"/>
  <c r="G7" i="6" s="1"/>
  <c r="I20" i="4"/>
  <c r="I20" i="3"/>
  <c r="I63" i="3"/>
  <c r="G6" i="3"/>
  <c r="G7" i="3" s="1"/>
  <c r="D39" i="2"/>
  <c r="G6" i="2"/>
  <c r="G7" i="2" s="1"/>
  <c r="G5" i="14"/>
  <c r="I5" i="14" s="1"/>
  <c r="G5" i="15"/>
  <c r="I5" i="15" s="1"/>
  <c r="D13" i="9"/>
  <c r="I63" i="9"/>
  <c r="D49" i="9"/>
  <c r="D39" i="9"/>
  <c r="H6" i="9"/>
  <c r="D34" i="17" s="1"/>
  <c r="D49" i="8"/>
  <c r="D29" i="8"/>
  <c r="I20" i="8"/>
  <c r="H6" i="8"/>
  <c r="D33" i="17" s="1"/>
  <c r="D13" i="8"/>
  <c r="I56" i="8"/>
  <c r="D63" i="7"/>
  <c r="G6" i="7"/>
  <c r="G7" i="7" s="1"/>
  <c r="I63" i="7"/>
  <c r="I37" i="7"/>
  <c r="D49" i="7"/>
  <c r="I20" i="7"/>
  <c r="D29" i="7"/>
  <c r="H6" i="7"/>
  <c r="D32" i="17" s="1"/>
  <c r="I63" i="4"/>
  <c r="I20" i="6"/>
  <c r="I37" i="6"/>
  <c r="I46" i="6"/>
  <c r="I56" i="6"/>
  <c r="D63" i="6"/>
  <c r="D56" i="6"/>
  <c r="D49" i="6"/>
  <c r="D39" i="6"/>
  <c r="H6" i="6"/>
  <c r="D31" i="17" s="1"/>
  <c r="D13" i="6"/>
  <c r="I46" i="4"/>
  <c r="D49" i="4"/>
  <c r="D56" i="4"/>
  <c r="D63" i="3"/>
  <c r="I46" i="2"/>
  <c r="I37" i="2"/>
  <c r="D29" i="2"/>
  <c r="D49" i="2"/>
  <c r="D63" i="2"/>
  <c r="I46" i="3"/>
  <c r="D56" i="3"/>
  <c r="D39" i="3"/>
  <c r="D13" i="3"/>
  <c r="D39" i="4"/>
  <c r="D13" i="4"/>
  <c r="I37" i="4"/>
  <c r="D29" i="4"/>
  <c r="G6" i="4"/>
  <c r="G7" i="4" s="1"/>
  <c r="I56" i="4"/>
  <c r="H6" i="4"/>
  <c r="D49" i="3"/>
  <c r="I37" i="3"/>
  <c r="I56" i="3"/>
  <c r="H6" i="3"/>
  <c r="D28" i="17" s="1"/>
  <c r="D29" i="3"/>
  <c r="I5" i="2"/>
  <c r="D13" i="2"/>
  <c r="D56" i="2"/>
  <c r="I63" i="2"/>
  <c r="I63" i="14"/>
  <c r="I20" i="2"/>
  <c r="I56" i="2"/>
  <c r="H6" i="2"/>
  <c r="D27" i="17" s="1"/>
  <c r="I46" i="14"/>
  <c r="I37" i="14"/>
  <c r="D63" i="14"/>
  <c r="D56" i="14"/>
  <c r="D49" i="14"/>
  <c r="D39" i="14"/>
  <c r="I56" i="14"/>
  <c r="H6" i="14"/>
  <c r="H7" i="14" s="1"/>
  <c r="D29" i="14"/>
  <c r="D29" i="9"/>
  <c r="D29" i="6"/>
  <c r="D13" i="14"/>
  <c r="I5" i="12"/>
  <c r="I5" i="11"/>
  <c r="I5" i="10"/>
  <c r="I5" i="9"/>
  <c r="I5" i="7"/>
  <c r="I5" i="4"/>
  <c r="I5" i="3"/>
  <c r="I5" i="6"/>
  <c r="I41" i="1"/>
  <c r="I42" i="1"/>
  <c r="I26" i="1"/>
  <c r="I27" i="1"/>
  <c r="I28" i="1"/>
  <c r="I29" i="1"/>
  <c r="I30" i="1"/>
  <c r="I12" i="1"/>
  <c r="I13" i="1"/>
  <c r="I14" i="1"/>
  <c r="I15" i="1"/>
  <c r="I16" i="1"/>
  <c r="I17" i="1"/>
  <c r="I18" i="1"/>
  <c r="I19" i="1"/>
  <c r="H7" i="12" l="1"/>
  <c r="I7" i="12" s="1"/>
  <c r="I6" i="12"/>
  <c r="I6" i="11"/>
  <c r="H7" i="11"/>
  <c r="I7" i="11" s="1"/>
  <c r="I6" i="10"/>
  <c r="H7" i="10"/>
  <c r="I7" i="10" s="1"/>
  <c r="I6" i="7"/>
  <c r="I6" i="6"/>
  <c r="H7" i="4"/>
  <c r="I7" i="4" s="1"/>
  <c r="D29" i="17"/>
  <c r="I6" i="3"/>
  <c r="I6" i="2"/>
  <c r="H7" i="9"/>
  <c r="I7" i="9" s="1"/>
  <c r="I6" i="9"/>
  <c r="H7" i="8"/>
  <c r="I7" i="8" s="1"/>
  <c r="I6" i="8"/>
  <c r="H7" i="7"/>
  <c r="I7" i="7" s="1"/>
  <c r="H7" i="6"/>
  <c r="I7" i="6" s="1"/>
  <c r="I6" i="4"/>
  <c r="H7" i="3"/>
  <c r="I7" i="3" s="1"/>
  <c r="H7" i="2"/>
  <c r="I7" i="2" s="1"/>
  <c r="F20" i="1"/>
  <c r="F37" i="1"/>
  <c r="F46" i="1"/>
  <c r="F56" i="1"/>
  <c r="F63" i="1"/>
  <c r="A63" i="1"/>
  <c r="A56" i="1"/>
  <c r="A49" i="1"/>
  <c r="A39" i="1"/>
  <c r="A29" i="1"/>
  <c r="A13" i="1"/>
  <c r="H63" i="1"/>
  <c r="G63" i="1"/>
  <c r="H56" i="1"/>
  <c r="G56" i="1"/>
  <c r="H46" i="1"/>
  <c r="G46" i="1"/>
  <c r="H37" i="1"/>
  <c r="G37" i="1"/>
  <c r="G20" i="1"/>
  <c r="C63" i="1"/>
  <c r="B63" i="1"/>
  <c r="C56" i="1"/>
  <c r="B56" i="1"/>
  <c r="C49" i="1"/>
  <c r="B49" i="1"/>
  <c r="C39" i="1"/>
  <c r="B39" i="1"/>
  <c r="C29" i="1"/>
  <c r="B29" i="1"/>
  <c r="C13" i="1"/>
  <c r="H5" i="1" s="1"/>
  <c r="C26" i="17" s="1"/>
  <c r="G5" i="1"/>
  <c r="H6" i="1" l="1"/>
  <c r="D26" i="17" s="1"/>
  <c r="G6" i="1"/>
  <c r="I5" i="1"/>
  <c r="I61" i="1"/>
  <c r="I44" i="1"/>
  <c r="D12" i="1"/>
  <c r="D11" i="1"/>
  <c r="D10" i="1"/>
  <c r="D9" i="1"/>
  <c r="D8" i="1"/>
  <c r="D7" i="1"/>
  <c r="D6" i="1"/>
  <c r="D5" i="1"/>
  <c r="I36" i="1"/>
  <c r="D25" i="1"/>
  <c r="I45" i="1"/>
  <c r="I43" i="1"/>
  <c r="I40" i="1"/>
  <c r="D46" i="1"/>
  <c r="D45" i="1"/>
  <c r="D44" i="1"/>
  <c r="D47" i="1"/>
  <c r="D43" i="1"/>
  <c r="D48" i="1"/>
  <c r="D42" i="1"/>
  <c r="I51" i="1"/>
  <c r="I24" i="1"/>
  <c r="I34" i="1"/>
  <c r="I32" i="1"/>
  <c r="I31" i="1"/>
  <c r="I23" i="1"/>
  <c r="I35" i="1"/>
  <c r="I25" i="1"/>
  <c r="I33" i="1"/>
  <c r="I11" i="1"/>
  <c r="I62" i="1"/>
  <c r="I60" i="1"/>
  <c r="I59" i="1"/>
  <c r="D38" i="1"/>
  <c r="D34" i="1"/>
  <c r="D37" i="1"/>
  <c r="D36" i="1"/>
  <c r="D35" i="1"/>
  <c r="D33" i="1"/>
  <c r="D32" i="1"/>
  <c r="I49" i="1"/>
  <c r="I52" i="1"/>
  <c r="I55" i="1"/>
  <c r="I54" i="1"/>
  <c r="I53" i="1"/>
  <c r="I50" i="1"/>
  <c r="D62" i="1"/>
  <c r="D61" i="1"/>
  <c r="D60" i="1"/>
  <c r="D59" i="1"/>
  <c r="D53" i="1"/>
  <c r="D54" i="1"/>
  <c r="D55" i="1"/>
  <c r="D52" i="1"/>
  <c r="D28" i="1"/>
  <c r="D17" i="1"/>
  <c r="D18" i="1"/>
  <c r="D19" i="1"/>
  <c r="D20" i="1"/>
  <c r="D21" i="1"/>
  <c r="D22" i="1"/>
  <c r="D23" i="1"/>
  <c r="D24" i="1"/>
  <c r="D26" i="1"/>
  <c r="D27" i="1"/>
  <c r="D16" i="1"/>
  <c r="I6" i="1" l="1"/>
  <c r="D49" i="1"/>
  <c r="I63" i="1"/>
  <c r="I46" i="1"/>
  <c r="I56" i="1"/>
  <c r="D39" i="1"/>
  <c r="I20" i="1"/>
  <c r="I37" i="1"/>
  <c r="D29" i="1"/>
  <c r="D13" i="1"/>
  <c r="H7" i="1"/>
  <c r="D56" i="1"/>
  <c r="D63" i="1"/>
  <c r="G7" i="1" l="1"/>
  <c r="I7" i="1" s="1"/>
  <c r="I12" i="14"/>
  <c r="I15" i="14"/>
  <c r="I13" i="14"/>
  <c r="I19" i="14"/>
  <c r="I17" i="14"/>
  <c r="I14" i="14"/>
  <c r="I16" i="14"/>
  <c r="I18" i="14"/>
  <c r="I11" i="14"/>
  <c r="G20" i="14"/>
  <c r="G6" i="14" l="1"/>
  <c r="G7" i="14" s="1"/>
  <c r="I7" i="14" s="1"/>
  <c r="G6" i="15"/>
  <c r="I20" i="14"/>
  <c r="I6" i="14" l="1"/>
  <c r="I6" i="15"/>
  <c r="G7" i="15"/>
  <c r="I7" i="15" s="1"/>
</calcChain>
</file>

<file path=xl/sharedStrings.xml><?xml version="1.0" encoding="utf-8"?>
<sst xmlns="http://schemas.openxmlformats.org/spreadsheetml/2006/main" count="1906" uniqueCount="141">
  <si>
    <t>Actual</t>
  </si>
  <si>
    <t>INCOME</t>
  </si>
  <si>
    <t>Total Income</t>
  </si>
  <si>
    <t>Total Expenses</t>
  </si>
  <si>
    <t>NET</t>
  </si>
  <si>
    <t>Groceries</t>
  </si>
  <si>
    <t>Gifts Given</t>
  </si>
  <si>
    <t>Wages &amp; Tips</t>
  </si>
  <si>
    <t>MISCELLANEOUS</t>
  </si>
  <si>
    <t>HOME EXPENSES</t>
  </si>
  <si>
    <t>Other</t>
  </si>
  <si>
    <t>TRANSPORTATION</t>
  </si>
  <si>
    <t>Vehicle Payments</t>
  </si>
  <si>
    <t>Fuel</t>
  </si>
  <si>
    <t>Repairs</t>
  </si>
  <si>
    <t>HEALTH</t>
  </si>
  <si>
    <t>Doctor/Dentist</t>
  </si>
  <si>
    <t>Medicine/Drugs</t>
  </si>
  <si>
    <t>Health Club Dues</t>
  </si>
  <si>
    <t>Newspaper</t>
  </si>
  <si>
    <t>Magazines</t>
  </si>
  <si>
    <t>Rentals</t>
  </si>
  <si>
    <t>Outdoor Recreation</t>
  </si>
  <si>
    <t>Hobbies</t>
  </si>
  <si>
    <t>Sports</t>
  </si>
  <si>
    <t>SUBSCRIPTIONS</t>
  </si>
  <si>
    <t>DAILY LIVING</t>
  </si>
  <si>
    <t>Charitable Donations</t>
  </si>
  <si>
    <t>Religious Donations</t>
  </si>
  <si>
    <t>Emergency Fund</t>
  </si>
  <si>
    <t>Transfer to Savings</t>
  </si>
  <si>
    <t>Investments</t>
  </si>
  <si>
    <t>SAVINGS</t>
  </si>
  <si>
    <t>Retirement (401k, IRA)</t>
  </si>
  <si>
    <t>OBLIGATIONS</t>
  </si>
  <si>
    <t>Bus/Taxi/Train Fare</t>
  </si>
  <si>
    <t>Registration/License</t>
  </si>
  <si>
    <t>Lawn/Garden</t>
  </si>
  <si>
    <t>Furnishings/Appliances</t>
  </si>
  <si>
    <t>Cable/Satellite</t>
  </si>
  <si>
    <t>Dining/Eating Out</t>
  </si>
  <si>
    <t>Movies/Theater</t>
  </si>
  <si>
    <t>Concerts/Plays</t>
  </si>
  <si>
    <t>Film/Photos</t>
  </si>
  <si>
    <t>Toys/Gadgets</t>
  </si>
  <si>
    <t>CHARITY/GIFTS</t>
  </si>
  <si>
    <t>Difference</t>
  </si>
  <si>
    <t>Transfer from Savings</t>
  </si>
  <si>
    <t>[42]</t>
  </si>
  <si>
    <t>Budget</t>
  </si>
  <si>
    <t>Refunds/Reimbursements</t>
  </si>
  <si>
    <t>BUDGET SUMMARY</t>
  </si>
  <si>
    <t>Auto Insurance</t>
  </si>
  <si>
    <t>Health Insurance</t>
  </si>
  <si>
    <t>Life Insurance</t>
  </si>
  <si>
    <t>Veterinarian/Pet Care</t>
  </si>
  <si>
    <t>Dues/Memberships</t>
  </si>
  <si>
    <t>Cleaning</t>
  </si>
  <si>
    <t>Education/Lessons</t>
  </si>
  <si>
    <t>Vacation/Travel</t>
  </si>
  <si>
    <t>Education</t>
  </si>
  <si>
    <t>Home Owners (4th)</t>
  </si>
  <si>
    <t>PG&amp;E (13th)</t>
  </si>
  <si>
    <t>Mortgage/Rent (1st)</t>
  </si>
  <si>
    <t>Water/Sewer/Trash (15th)</t>
  </si>
  <si>
    <t>Internet/Phone (7th)</t>
  </si>
  <si>
    <t>Home/Rental Insurance (1st)</t>
  </si>
  <si>
    <t>Checks</t>
  </si>
  <si>
    <t>Bank Fees/ Late Fees</t>
  </si>
  <si>
    <t>General Merch (Target)</t>
  </si>
  <si>
    <t>ATM withdrawl</t>
  </si>
  <si>
    <t>Personal Care</t>
  </si>
  <si>
    <t>Business Misc</t>
  </si>
  <si>
    <t>Maintenance/Bed-Bath</t>
  </si>
  <si>
    <t>Pet Food/Care</t>
  </si>
  <si>
    <t>Improvements/Lowe's/Jo-Ann</t>
  </si>
  <si>
    <t>On-line Services</t>
  </si>
  <si>
    <t>Deposits</t>
  </si>
  <si>
    <t>Entertainment</t>
  </si>
  <si>
    <t>October Budget</t>
  </si>
  <si>
    <t>November Budget</t>
  </si>
  <si>
    <t>December Budget</t>
  </si>
  <si>
    <t>September Budget</t>
  </si>
  <si>
    <t>August Budget</t>
  </si>
  <si>
    <t>July Budget</t>
  </si>
  <si>
    <t>June Budget</t>
  </si>
  <si>
    <t>May Budget</t>
  </si>
  <si>
    <t>April Budget</t>
  </si>
  <si>
    <t>March Budget</t>
  </si>
  <si>
    <t>Feburary Budget</t>
  </si>
  <si>
    <t>January Budget</t>
  </si>
  <si>
    <t>ENTERTAINMENT</t>
  </si>
  <si>
    <t>Clothing/Shoes</t>
  </si>
  <si>
    <t>Office Supplies</t>
  </si>
  <si>
    <t>Interest</t>
  </si>
  <si>
    <t>Rentals (Enterprise)</t>
  </si>
  <si>
    <t>Hobbies (Scholastic Books)</t>
  </si>
  <si>
    <t>Other (Taxes)</t>
  </si>
  <si>
    <t>Average</t>
  </si>
  <si>
    <t>Column1</t>
  </si>
  <si>
    <t>Averages</t>
  </si>
  <si>
    <t>Area Wide</t>
  </si>
  <si>
    <t>January</t>
  </si>
  <si>
    <t>Febuary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</si>
  <si>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</si>
  <si>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</si>
  <si>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</si>
  <si>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</si>
  <si>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</si>
  <si>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</si>
  <si>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</si>
  <si>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</si>
  <si>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</si>
  <si>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</si>
  <si>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Credit Card</t>
  </si>
  <si>
    <t>Loan</t>
  </si>
  <si>
    <t>Advance Pay</t>
  </si>
  <si>
    <t>AFA Society, AER. NMCRS</t>
  </si>
  <si>
    <t>Cell Phone</t>
  </si>
  <si>
    <t>Reservist Pay</t>
  </si>
  <si>
    <t>Deposits from Tenants</t>
  </si>
  <si>
    <t>Spouse Earnings</t>
  </si>
  <si>
    <t>Internet Games</t>
  </si>
  <si>
    <t>Clubs</t>
  </si>
  <si>
    <t>Other/Tolls</t>
  </si>
  <si>
    <t>Credit Card(Discover)</t>
  </si>
  <si>
    <t>Credit Card(USAA)</t>
  </si>
  <si>
    <t>Credit Card(Capital One)</t>
  </si>
  <si>
    <t>Other(Storage)</t>
  </si>
  <si>
    <t>Postal</t>
  </si>
  <si>
    <t>Loan (Navient)</t>
  </si>
  <si>
    <t>Child Support</t>
  </si>
  <si>
    <t>ATM Rebate</t>
  </si>
  <si>
    <t>postage</t>
  </si>
  <si>
    <t>Postage</t>
  </si>
  <si>
    <t>Post Office</t>
  </si>
  <si>
    <t>Office Party Tix</t>
  </si>
  <si>
    <t>Vacation Meals Out</t>
  </si>
  <si>
    <t>Books</t>
  </si>
  <si>
    <t>Total 2018 Budget</t>
  </si>
  <si>
    <t>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</si>
</sst>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9" x14ac:knownFonts="1">
    <font>
      <sz val="11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Trebuchet MS"/>
      <family val="2"/>
      <scheme val="minor"/>
    </font>
    <font>
      <u/>
      <sz val="8"/>
      <color indexed="12"/>
      <name val="Trebuchet MS"/>
      <family val="2"/>
      <scheme val="minor"/>
    </font>
    <font>
      <sz val="8"/>
      <name val="Trebuchet MS"/>
      <family val="2"/>
      <scheme val="minor"/>
    </font>
    <font>
      <b/>
      <sz val="8"/>
      <name val="Trebuchet MS"/>
      <family val="2"/>
      <scheme val="minor"/>
    </font>
    <font>
      <b/>
      <sz val="10"/>
      <name val="Trebuchet MS"/>
      <family val="2"/>
      <scheme val="minor"/>
    </font>
    <font>
      <sz val="10"/>
      <color theme="0"/>
      <name val="Trebuchet MS"/>
      <family val="2"/>
      <scheme val="minor"/>
    </font>
    <font>
      <b/>
      <sz val="10"/>
      <name val="Arial"/>
      <family val="2"/>
      <scheme val="major"/>
    </font>
    <font>
      <sz val="9"/>
      <name val="Arial"/>
      <family val="2"/>
      <scheme val="major"/>
    </font>
    <font>
      <sz val="6"/>
      <color theme="0"/>
      <name val="Trebuchet MS"/>
      <family val="2"/>
      <scheme val="minor"/>
    </font>
    <font>
      <b/>
      <sz val="11"/>
      <color theme="1"/>
      <name val="Trebuchet MS"/>
      <family val="2"/>
      <scheme val="minor"/>
    </font>
    <font>
      <b/>
      <sz val="10"/>
      <color theme="0"/>
      <name val="Arial"/>
      <family val="2"/>
      <scheme val="major"/>
    </font>
    <font>
      <b/>
      <sz val="9"/>
      <color theme="1"/>
      <name val="Trebuchet MS"/>
      <family val="2"/>
      <scheme val="minor"/>
    </font>
    <font>
      <sz val="18"/>
      <color theme="4"/>
      <name val="Trebuchet MS"/>
      <family val="2"/>
      <scheme val="minor"/>
    </font>
    <font>
      <sz val="10"/>
      <name val="Trebuchet MS"/>
      <scheme val="minor"/>
    </font>
    <font>
      <sz val="11"/>
      <color theme="0"/>
      <name val="Trebuchet MS"/>
      <family val="2"/>
      <scheme val="minor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/>
      </patternFill>
    </fill>
    <fill>
      <patternFill patternType="solid">
        <fgColor theme="9" tint="0.39997558519241921"/>
        <bgColor indexed="65"/>
      </patternFill>
    </fill>
  </fills>
  <borders count="5">
    <border>
      <left/>
      <right/>
      <top/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/>
      <right/>
      <top style="double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7" fillId="4" borderId="0" applyNumberFormat="0" applyBorder="0" applyAlignment="0" applyProtection="0"/>
    <xf numFmtId="0" fontId="17" fillId="5" borderId="0" applyNumberFormat="0" applyBorder="0" applyAlignment="0" applyProtection="0"/>
  </cellStyleXfs>
  <cellXfs count="48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 applyAlignment="1">
      <alignment horizontal="right"/>
    </xf>
    <xf numFmtId="0" fontId="3" fillId="0" borderId="0" xfId="0" applyFont="1" applyFill="1" applyBorder="1"/>
    <xf numFmtId="0" fontId="7" fillId="0" borderId="0" xfId="0" applyFont="1"/>
    <xf numFmtId="0" fontId="3" fillId="0" borderId="0" xfId="0" applyFont="1" applyAlignment="1"/>
    <xf numFmtId="0" fontId="3" fillId="0" borderId="0" xfId="0" applyFont="1" applyAlignment="1">
      <alignment horizontal="left"/>
    </xf>
    <xf numFmtId="0" fontId="3" fillId="0" borderId="0" xfId="0" applyFont="1" applyFill="1"/>
    <xf numFmtId="4" fontId="3" fillId="0" borderId="1" xfId="1" applyNumberFormat="1" applyFont="1" applyFill="1" applyBorder="1"/>
    <xf numFmtId="43" fontId="3" fillId="0" borderId="0" xfId="1" applyNumberFormat="1" applyFont="1" applyFill="1" applyBorder="1"/>
    <xf numFmtId="0" fontId="5" fillId="0" borderId="0" xfId="0" applyFont="1" applyFill="1"/>
    <xf numFmtId="4" fontId="3" fillId="0" borderId="2" xfId="1" applyNumberFormat="1" applyFont="1" applyFill="1" applyBorder="1"/>
    <xf numFmtId="43" fontId="3" fillId="0" borderId="0" xfId="0" applyNumberFormat="1" applyFont="1" applyFill="1" applyBorder="1"/>
    <xf numFmtId="4" fontId="3" fillId="0" borderId="3" xfId="1" applyNumberFormat="1" applyFont="1" applyFill="1" applyBorder="1"/>
    <xf numFmtId="0" fontId="3" fillId="0" borderId="0" xfId="0" applyFont="1" applyFill="1" applyAlignment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8" fillId="0" borderId="0" xfId="0" applyFont="1" applyFill="1"/>
    <xf numFmtId="4" fontId="3" fillId="0" borderId="0" xfId="0" applyNumberFormat="1" applyFont="1" applyFill="1" applyBorder="1"/>
    <xf numFmtId="0" fontId="11" fillId="0" borderId="0" xfId="0" applyFont="1" applyFill="1" applyAlignment="1">
      <alignment horizontal="left"/>
    </xf>
    <xf numFmtId="0" fontId="9" fillId="0" borderId="0" xfId="0" applyFont="1" applyFill="1" applyBorder="1"/>
    <xf numFmtId="43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indent="1"/>
    </xf>
    <xf numFmtId="40" fontId="14" fillId="0" borderId="0" xfId="2" applyNumberFormat="1" applyFont="1" applyBorder="1" applyAlignment="1">
      <alignment horizontal="right" vertical="center"/>
    </xf>
    <xf numFmtId="0" fontId="13" fillId="2" borderId="0" xfId="0" applyFont="1" applyFill="1" applyBorder="1"/>
    <xf numFmtId="0" fontId="13" fillId="2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right" vertical="center"/>
    </xf>
    <xf numFmtId="0" fontId="12" fillId="3" borderId="4" xfId="0" applyFont="1" applyFill="1" applyBorder="1" applyAlignment="1">
      <alignment horizontal="right" vertical="center"/>
    </xf>
    <xf numFmtId="40" fontId="14" fillId="3" borderId="4" xfId="2" applyNumberFormat="1" applyFont="1" applyFill="1" applyBorder="1" applyAlignment="1">
      <alignment horizontal="right" vertical="center"/>
    </xf>
    <xf numFmtId="0" fontId="4" fillId="0" borderId="0" xfId="3" applyFont="1" applyFill="1" applyBorder="1" applyAlignment="1" applyProtection="1">
      <alignment horizontal="left"/>
    </xf>
    <xf numFmtId="0" fontId="5" fillId="0" borderId="0" xfId="0" applyFont="1" applyFill="1" applyBorder="1"/>
    <xf numFmtId="0" fontId="4" fillId="0" borderId="0" xfId="3" applyFont="1" applyFill="1" applyBorder="1" applyAlignment="1" applyProtection="1"/>
    <xf numFmtId="0" fontId="15" fillId="0" borderId="0" xfId="0" applyFont="1" applyFill="1" applyBorder="1" applyAlignment="1">
      <alignment vertical="center"/>
    </xf>
    <xf numFmtId="0" fontId="2" fillId="0" borderId="0" xfId="3" applyFill="1" applyBorder="1" applyAlignment="1" applyProtection="1"/>
    <xf numFmtId="0" fontId="3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 horizontal="right" indent="1"/>
    </xf>
    <xf numFmtId="4" fontId="16" fillId="0" borderId="0" xfId="0" applyNumberFormat="1" applyFont="1" applyFill="1" applyBorder="1"/>
    <xf numFmtId="43" fontId="16" fillId="0" borderId="0" xfId="0" applyNumberFormat="1" applyFont="1" applyFill="1" applyBorder="1"/>
    <xf numFmtId="4" fontId="3" fillId="0" borderId="1" xfId="1" applyNumberFormat="1" applyFont="1" applyFill="1" applyBorder="1" applyAlignment="1">
      <alignment horizontal="right"/>
    </xf>
    <xf numFmtId="4" fontId="3" fillId="0" borderId="3" xfId="1" applyNumberFormat="1" applyFont="1" applyFill="1" applyBorder="1" applyAlignment="1">
      <alignment horizontal="right"/>
    </xf>
    <xf numFmtId="4" fontId="3" fillId="0" borderId="2" xfId="1" applyNumberFormat="1" applyFont="1" applyFill="1" applyBorder="1" applyAlignment="1">
      <alignment horizontal="right"/>
    </xf>
    <xf numFmtId="4" fontId="17" fillId="4" borderId="1" xfId="4" applyNumberFormat="1" applyBorder="1"/>
    <xf numFmtId="4" fontId="17" fillId="5" borderId="1" xfId="5" applyNumberFormat="1" applyBorder="1"/>
    <xf numFmtId="0" fontId="18" fillId="0" borderId="0" xfId="0" applyFont="1"/>
    <xf numFmtId="40" fontId="18" fillId="0" borderId="0" xfId="0" applyNumberFormat="1" applyFont="1"/>
    <xf numFmtId="0" fontId="5" fillId="0" borderId="0" xfId="0" applyFont="1" applyFill="1" applyBorder="1" applyAlignment="1">
      <alignment horizontal="right"/>
    </xf>
  </cellXfs>
  <cellStyles count="6">
    <cellStyle name="60% - Accent6" xfId="5" builtinId="52"/>
    <cellStyle name="Accent1" xfId="4" builtinId="29"/>
    <cellStyle name="Comma" xfId="1" builtinId="3"/>
    <cellStyle name="Currency" xfId="2" builtinId="4"/>
    <cellStyle name="Hyperlink" xfId="3" builtinId="8"/>
    <cellStyle name="Normal" xfId="0" builtinId="0" customBuiltin="1"/>
  </cellStyles>
  <dxfs count="18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</dxf>
    <dxf>
      <border outline="0">
        <top style="thin">
          <color indexed="55"/>
        </top>
      </border>
    </dxf>
    <dxf>
      <font>
        <strike val="0"/>
        <outline val="0"/>
        <shadow val="0"/>
        <u val="none"/>
        <vertAlign val="baseline"/>
        <color auto="1"/>
        <name val="Trebuchet MS"/>
        <scheme val="minor"/>
      </font>
      <fill>
        <patternFill patternType="none">
          <fgColor indexed="64"/>
          <bgColor auto="1"/>
        </patternFill>
      </fill>
    </dxf>
    <dxf>
      <border outline="0">
        <bottom style="medium">
          <color indexed="23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color auto="1"/>
        <name val="Trebuchet MS"/>
        <scheme val="minor"/>
      </font>
      <fill>
        <patternFill patternType="none">
          <fgColor indexed="64"/>
          <bgColor auto="1"/>
        </patternFill>
      </fill>
    </dxf>
    <dxf>
      <border outline="0">
        <bottom style="medium">
          <color indexed="23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color auto="1"/>
        <name val="Trebuchet MS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color auto="1"/>
        <name val="Trebuchet MS"/>
        <scheme val="minor"/>
      </font>
      <fill>
        <patternFill patternType="none">
          <fgColor indexed="64"/>
          <bgColor auto="1"/>
        </patternFill>
      </fill>
    </dxf>
    <dxf>
      <border outline="0">
        <bottom style="medium">
          <color indexed="23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color auto="1"/>
        <name val="Trebuchet MS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color auto="1"/>
        <name val="Trebuchet MS"/>
        <scheme val="minor"/>
      </font>
      <fill>
        <patternFill patternType="none">
          <fgColor indexed="64"/>
          <bgColor auto="1"/>
        </patternFill>
      </fill>
    </dxf>
    <dxf>
      <border outline="0">
        <bottom style="medium">
          <color indexed="23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color auto="1"/>
        <name val="Trebuchet MS"/>
        <scheme val="minor"/>
      </font>
      <fill>
        <patternFill patternType="none">
          <fgColor indexed="64"/>
          <bgColor auto="1"/>
        </patternFill>
      </fill>
    </dxf>
    <dxf>
      <border outline="0">
        <bottom style="medium">
          <color indexed="23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Trebuchet MS"/>
        <scheme val="minor"/>
      </font>
      <fill>
        <patternFill patternType="none">
          <fgColor indexed="64"/>
          <bgColor auto="1"/>
        </patternFill>
      </fill>
    </dxf>
    <dxf>
      <border outline="0">
        <bottom style="medium">
          <color indexed="23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color auto="1"/>
        <name val="Trebuchet MS"/>
        <scheme val="minor"/>
      </font>
      <fill>
        <patternFill patternType="none">
          <fgColor indexed="64"/>
          <bgColor auto="1"/>
        </patternFill>
      </fill>
    </dxf>
    <dxf>
      <border outline="0">
        <bottom style="medium">
          <color indexed="23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color auto="1"/>
        <name val="Trebuchet MS"/>
        <scheme val="minor"/>
      </font>
      <fill>
        <patternFill patternType="none">
          <fgColor indexed="64"/>
          <bgColor auto="1"/>
        </patternFill>
      </fill>
    </dxf>
    <dxf>
      <border outline="0">
        <bottom style="medium">
          <color indexed="23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color auto="1"/>
        <name val="Trebuchet MS"/>
        <scheme val="minor"/>
      </font>
      <fill>
        <patternFill patternType="none">
          <fgColor indexed="64"/>
          <bgColor auto="1"/>
        </patternFill>
      </fill>
    </dxf>
    <dxf>
      <border outline="0">
        <bottom style="medium">
          <color indexed="23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border outline="0">
        <left style="thin">
          <color indexed="55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border outline="0">
        <right style="thin">
          <color indexed="55"/>
        </right>
      </border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color auto="1"/>
        <name val="Trebuchet MS"/>
        <scheme val="minor"/>
      </font>
      <fill>
        <patternFill patternType="none">
          <fgColor indexed="64"/>
          <bgColor auto="1"/>
        </patternFill>
      </fill>
    </dxf>
    <dxf>
      <border outline="0">
        <bottom style="medium">
          <color indexed="23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color auto="1"/>
        <name val="Trebuchet MS"/>
        <scheme val="minor"/>
      </font>
      <fill>
        <patternFill patternType="none">
          <fgColor indexed="64"/>
          <bgColor auto="1"/>
        </patternFill>
      </fill>
    </dxf>
    <dxf>
      <border outline="0">
        <bottom style="medium">
          <color indexed="23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major"/>
      </font>
      <fill>
        <patternFill patternType="none">
          <fgColor indexed="64"/>
          <bgColor auto="1"/>
        </patternFill>
      </fill>
    </dxf>
    <dxf>
      <font>
        <b/>
        <i val="0"/>
        <color theme="6" tint="-0.24994659260841701"/>
      </font>
    </dxf>
    <dxf>
      <font>
        <condense val="0"/>
        <extend val="0"/>
        <color indexed="1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border outline="0">
        <left style="thin">
          <color indexed="55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  <border outline="0">
        <right style="thin">
          <color indexed="55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</dxf>
    <dxf>
      <border outline="0">
        <top style="thin">
          <color indexed="55"/>
        </top>
      </border>
    </dxf>
    <dxf>
      <font>
        <strike val="0"/>
        <outline val="0"/>
        <shadow val="0"/>
        <u val="none"/>
        <vertAlign val="baseline"/>
        <color auto="1"/>
        <name val="Trebuchet MS"/>
        <scheme val="minor"/>
      </font>
      <fill>
        <patternFill patternType="none">
          <fgColor indexed="64"/>
          <bgColor auto="1"/>
        </patternFill>
      </fill>
    </dxf>
    <dxf>
      <border outline="0">
        <bottom style="medium">
          <color indexed="23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border outline="0">
        <left style="thin">
          <color indexed="55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 outline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color auto="1"/>
        <name val="Trebuchet MS"/>
        <scheme val="minor"/>
      </font>
      <fill>
        <patternFill patternType="none">
          <fgColor indexed="64"/>
          <bgColor auto="1"/>
        </patternFill>
      </fill>
    </dxf>
    <dxf>
      <border outline="0">
        <bottom style="medium">
          <color indexed="23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border outline="0">
        <left style="thin">
          <color indexed="55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 outline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strike val="0"/>
        <outline val="0"/>
        <shadow val="0"/>
        <u val="none"/>
        <vertAlign val="baseline"/>
        <color auto="1"/>
        <name val="Trebuchet MS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color auto="1"/>
        <name val="Trebuchet MS"/>
        <scheme val="minor"/>
      </font>
      <fill>
        <patternFill patternType="none">
          <fgColor indexed="64"/>
          <bgColor auto="1"/>
        </patternFill>
      </fill>
    </dxf>
    <dxf>
      <border outline="0">
        <bottom style="medium">
          <color indexed="23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border outline="0">
        <left style="thin">
          <color indexed="55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 outline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color auto="1"/>
        <name val="Trebuchet MS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color auto="1"/>
        <name val="Trebuchet MS"/>
        <scheme val="minor"/>
      </font>
      <fill>
        <patternFill patternType="none">
          <fgColor indexed="64"/>
          <bgColor auto="1"/>
        </patternFill>
      </fill>
    </dxf>
    <dxf>
      <border outline="0">
        <bottom style="medium">
          <color indexed="23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border outline="0">
        <left style="thin">
          <color indexed="55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 outline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color auto="1"/>
        <name val="Trebuchet MS"/>
        <scheme val="minor"/>
      </font>
      <fill>
        <patternFill patternType="none">
          <fgColor indexed="64"/>
          <bgColor auto="1"/>
        </patternFill>
      </fill>
    </dxf>
    <dxf>
      <border outline="0">
        <bottom style="medium">
          <color indexed="23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border outline="0">
        <left style="thin">
          <color indexed="55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 outline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Trebuchet MS"/>
        <scheme val="minor"/>
      </font>
      <fill>
        <patternFill patternType="none">
          <fgColor indexed="64"/>
          <bgColor auto="1"/>
        </patternFill>
      </fill>
    </dxf>
    <dxf>
      <border outline="0">
        <bottom style="medium">
          <color indexed="23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border outline="0">
        <left style="thin">
          <color indexed="55"/>
        </left>
      </border>
    </dxf>
    <dxf>
      <font>
        <strike val="0"/>
        <outline val="0"/>
        <shadow val="0"/>
        <u val="none"/>
        <vertAlign val="baseline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  <border outline="0">
        <right style="thin">
          <color indexed="55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color auto="1"/>
        <name val="Trebuchet MS"/>
        <scheme val="minor"/>
      </font>
      <fill>
        <patternFill patternType="none">
          <fgColor indexed="64"/>
          <bgColor auto="1"/>
        </patternFill>
      </fill>
    </dxf>
    <dxf>
      <border outline="0">
        <bottom style="medium">
          <color indexed="23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border outline="0">
        <left style="thin">
          <color indexed="55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 outline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color auto="1"/>
        <name val="Trebuchet MS"/>
        <scheme val="minor"/>
      </font>
      <fill>
        <patternFill patternType="none">
          <fgColor indexed="64"/>
          <bgColor auto="1"/>
        </patternFill>
      </fill>
    </dxf>
    <dxf>
      <border outline="0">
        <bottom style="medium">
          <color indexed="23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border outline="0">
        <left style="thin">
          <color indexed="55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 outline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color auto="1"/>
        <name val="Trebuchet MS"/>
        <scheme val="minor"/>
      </font>
      <fill>
        <patternFill patternType="none">
          <fgColor indexed="64"/>
          <bgColor auto="1"/>
        </patternFill>
      </fill>
    </dxf>
    <dxf>
      <border outline="0">
        <bottom style="medium">
          <color indexed="23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border outline="0">
        <left style="thin">
          <color indexed="55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 outline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border outline="0">
        <right style="thin">
          <color indexed="55"/>
        </right>
      </border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color auto="1"/>
        <name val="Trebuchet MS"/>
        <scheme val="minor"/>
      </font>
      <fill>
        <patternFill patternType="none">
          <fgColor indexed="64"/>
          <bgColor auto="1"/>
        </patternFill>
      </fill>
    </dxf>
    <dxf>
      <border outline="0">
        <bottom style="medium">
          <color indexed="23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major"/>
      </font>
      <fill>
        <patternFill patternType="none">
          <fgColor indexed="64"/>
          <bgColor auto="1"/>
        </patternFill>
      </fill>
    </dxf>
    <dxf>
      <border outline="0">
        <left style="thin">
          <color indexed="55"/>
        </left>
      </border>
    </dxf>
    <dxf>
      <numFmt numFmtId="4" formatCode="#,##0.00"/>
      <alignment horizontal="right" vertical="bottom" textRotation="0" wrapText="0" indent="0" justifyLastLine="0" shrinkToFit="0" readingOrder="0"/>
    </dxf>
    <dxf>
      <border outline="0">
        <right style="thin">
          <color indexed="55"/>
        </right>
      </border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color auto="1"/>
        <name val="Trebuchet MS"/>
        <scheme val="minor"/>
      </font>
      <fill>
        <patternFill patternType="none">
          <fgColor indexed="64"/>
          <bgColor auto="1"/>
        </patternFill>
      </fill>
    </dxf>
    <dxf>
      <border outline="0">
        <bottom style="medium">
          <color indexed="23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major"/>
      </font>
      <fill>
        <patternFill patternType="none">
          <fgColor indexed="64"/>
          <bgColor auto="1"/>
        </patternFill>
      </fill>
    </dxf>
    <dxf>
      <font>
        <b/>
        <i val="0"/>
        <color theme="6" tint="-0.24994659260841701"/>
      </font>
    </dxf>
    <dxf>
      <font>
        <condense val="0"/>
        <extend val="0"/>
        <color indexed="1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</dxf>
    <dxf>
      <border outline="0">
        <top style="thin">
          <color indexed="55"/>
        </top>
      </border>
    </dxf>
    <dxf>
      <font>
        <strike val="0"/>
        <outline val="0"/>
        <shadow val="0"/>
        <u val="none"/>
        <vertAlign val="baseline"/>
        <color auto="1"/>
        <name val="Trebuchet MS"/>
        <scheme val="minor"/>
      </font>
      <fill>
        <patternFill patternType="none">
          <fgColor indexed="64"/>
          <bgColor auto="1"/>
        </patternFill>
      </fill>
    </dxf>
    <dxf>
      <border outline="0">
        <bottom style="medium">
          <color indexed="23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color auto="1"/>
        <name val="Trebuchet MS"/>
        <scheme val="minor"/>
      </font>
      <fill>
        <patternFill patternType="none">
          <fgColor indexed="64"/>
          <bgColor auto="1"/>
        </patternFill>
      </fill>
    </dxf>
    <dxf>
      <border outline="0">
        <bottom style="medium">
          <color indexed="23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color auto="1"/>
        <name val="Trebuchet MS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color auto="1"/>
        <name val="Trebuchet MS"/>
        <scheme val="minor"/>
      </font>
      <fill>
        <patternFill patternType="none">
          <fgColor indexed="64"/>
          <bgColor auto="1"/>
        </patternFill>
      </fill>
    </dxf>
    <dxf>
      <border outline="0">
        <bottom style="medium">
          <color indexed="23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color auto="1"/>
        <name val="Trebuchet MS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color auto="1"/>
        <name val="Trebuchet MS"/>
        <scheme val="minor"/>
      </font>
      <fill>
        <patternFill patternType="none">
          <fgColor indexed="64"/>
          <bgColor auto="1"/>
        </patternFill>
      </fill>
    </dxf>
    <dxf>
      <border outline="0">
        <bottom style="medium">
          <color indexed="23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color auto="1"/>
        <name val="Trebuchet MS"/>
        <scheme val="minor"/>
      </font>
      <fill>
        <patternFill patternType="none">
          <fgColor indexed="64"/>
          <bgColor auto="1"/>
        </patternFill>
      </fill>
    </dxf>
    <dxf>
      <border outline="0">
        <bottom style="medium">
          <color indexed="23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Trebuchet MS"/>
        <scheme val="minor"/>
      </font>
      <fill>
        <patternFill patternType="none">
          <fgColor indexed="64"/>
          <bgColor auto="1"/>
        </patternFill>
      </fill>
    </dxf>
    <dxf>
      <border outline="0">
        <bottom style="medium">
          <color indexed="23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color auto="1"/>
        <name val="Trebuchet MS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color auto="1"/>
        <name val="Trebuchet MS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color auto="1"/>
        <name val="Trebuchet MS"/>
        <scheme val="minor"/>
      </font>
      <fill>
        <patternFill patternType="none">
          <fgColor indexed="64"/>
          <bgColor auto="1"/>
        </patternFill>
      </fill>
    </dxf>
    <dxf>
      <border outline="0">
        <bottom style="medium">
          <color indexed="23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color auto="1"/>
        <name val="Trebuchet MS"/>
        <scheme val="minor"/>
      </font>
      <fill>
        <patternFill patternType="none">
          <fgColor indexed="64"/>
          <bgColor auto="1"/>
        </patternFill>
      </fill>
    </dxf>
    <dxf>
      <border outline="0">
        <bottom style="medium">
          <color indexed="23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color auto="1"/>
        <name val="Trebuchet MS"/>
        <scheme val="minor"/>
      </font>
      <fill>
        <patternFill patternType="none">
          <fgColor indexed="64"/>
          <bgColor auto="1"/>
        </patternFill>
      </fill>
    </dxf>
    <dxf>
      <border outline="0">
        <bottom style="medium">
          <color indexed="23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border outline="0">
        <left style="thin">
          <color indexed="55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 outline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border outline="0">
        <right style="thin">
          <color indexed="55"/>
        </right>
      </border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color auto="1"/>
        <name val="Trebuchet MS"/>
        <scheme val="minor"/>
      </font>
      <fill>
        <patternFill patternType="none">
          <fgColor indexed="64"/>
          <bgColor auto="1"/>
        </patternFill>
      </fill>
    </dxf>
    <dxf>
      <border outline="0">
        <bottom style="medium">
          <color indexed="23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color auto="1"/>
        <name val="Trebuchet MS"/>
        <scheme val="minor"/>
      </font>
      <fill>
        <patternFill patternType="none">
          <fgColor indexed="64"/>
          <bgColor auto="1"/>
        </patternFill>
      </fill>
    </dxf>
    <dxf>
      <border outline="0">
        <bottom style="medium">
          <color indexed="23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major"/>
      </font>
      <fill>
        <patternFill patternType="none">
          <fgColor indexed="64"/>
          <bgColor auto="1"/>
        </patternFill>
      </fill>
    </dxf>
    <dxf>
      <font>
        <b/>
        <i val="0"/>
        <color theme="6" tint="-0.24994659260841701"/>
      </font>
    </dxf>
    <dxf>
      <font>
        <condense val="0"/>
        <extend val="0"/>
        <color indexed="1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</dxf>
    <dxf>
      <border outline="0">
        <top style="thin">
          <color indexed="55"/>
        </top>
      </border>
    </dxf>
    <dxf>
      <font>
        <strike val="0"/>
        <outline val="0"/>
        <shadow val="0"/>
        <u val="none"/>
        <vertAlign val="baseline"/>
        <color auto="1"/>
        <name val="Trebuchet MS"/>
        <scheme val="minor"/>
      </font>
      <fill>
        <patternFill patternType="none">
          <fgColor indexed="64"/>
          <bgColor auto="1"/>
        </patternFill>
      </fill>
    </dxf>
    <dxf>
      <border outline="0">
        <bottom style="medium">
          <color indexed="23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color auto="1"/>
        <name val="Trebuchet MS"/>
        <scheme val="minor"/>
      </font>
      <fill>
        <patternFill patternType="none">
          <fgColor indexed="64"/>
          <bgColor auto="1"/>
        </patternFill>
      </fill>
    </dxf>
    <dxf>
      <border outline="0">
        <bottom style="medium">
          <color indexed="23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color auto="1"/>
        <name val="Trebuchet MS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color auto="1"/>
        <name val="Trebuchet MS"/>
        <scheme val="minor"/>
      </font>
      <fill>
        <patternFill patternType="none">
          <fgColor indexed="64"/>
          <bgColor auto="1"/>
        </patternFill>
      </fill>
    </dxf>
    <dxf>
      <border outline="0">
        <bottom style="medium">
          <color indexed="23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color auto="1"/>
        <name val="Trebuchet MS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color auto="1"/>
        <name val="Trebuchet MS"/>
        <scheme val="minor"/>
      </font>
      <fill>
        <patternFill patternType="none">
          <fgColor indexed="64"/>
          <bgColor auto="1"/>
        </patternFill>
      </fill>
    </dxf>
    <dxf>
      <border outline="0">
        <bottom style="medium">
          <color indexed="23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color auto="1"/>
        <name val="Trebuchet MS"/>
        <scheme val="minor"/>
      </font>
      <fill>
        <patternFill patternType="none">
          <fgColor indexed="64"/>
          <bgColor auto="1"/>
        </patternFill>
      </fill>
    </dxf>
    <dxf>
      <border outline="0">
        <bottom style="medium">
          <color indexed="23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Trebuchet MS"/>
        <scheme val="minor"/>
      </font>
      <fill>
        <patternFill patternType="none">
          <fgColor indexed="64"/>
          <bgColor auto="1"/>
        </patternFill>
      </fill>
    </dxf>
    <dxf>
      <border outline="0">
        <bottom style="medium">
          <color indexed="23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color auto="1"/>
        <name val="Trebuchet MS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color auto="1"/>
        <name val="Trebuchet MS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color auto="1"/>
        <name val="Trebuchet MS"/>
        <scheme val="minor"/>
      </font>
      <fill>
        <patternFill patternType="none">
          <fgColor indexed="64"/>
          <bgColor auto="1"/>
        </patternFill>
      </fill>
    </dxf>
    <dxf>
      <border outline="0">
        <bottom style="medium">
          <color indexed="23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color auto="1"/>
        <name val="Trebuchet MS"/>
        <scheme val="minor"/>
      </font>
      <fill>
        <patternFill patternType="none">
          <fgColor indexed="64"/>
          <bgColor auto="1"/>
        </patternFill>
      </fill>
    </dxf>
    <dxf>
      <border outline="0">
        <bottom style="medium">
          <color indexed="23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color auto="1"/>
        <name val="Trebuchet MS"/>
        <scheme val="minor"/>
      </font>
      <fill>
        <patternFill patternType="none">
          <fgColor indexed="64"/>
          <bgColor auto="1"/>
        </patternFill>
      </fill>
    </dxf>
    <dxf>
      <border outline="0">
        <bottom style="medium">
          <color indexed="23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border outline="0">
        <left style="thin">
          <color indexed="55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 outline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border outline="0">
        <right style="thin">
          <color indexed="55"/>
        </right>
      </border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color auto="1"/>
        <name val="Trebuchet MS"/>
        <scheme val="minor"/>
      </font>
      <fill>
        <patternFill patternType="none">
          <fgColor indexed="64"/>
          <bgColor auto="1"/>
        </patternFill>
      </fill>
    </dxf>
    <dxf>
      <border outline="0">
        <bottom style="medium">
          <color indexed="23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color auto="1"/>
        <name val="Trebuchet MS"/>
        <scheme val="minor"/>
      </font>
      <fill>
        <patternFill patternType="none">
          <fgColor indexed="64"/>
          <bgColor auto="1"/>
        </patternFill>
      </fill>
    </dxf>
    <dxf>
      <border outline="0">
        <bottom style="medium">
          <color indexed="23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major"/>
      </font>
      <fill>
        <patternFill patternType="none">
          <fgColor indexed="64"/>
          <bgColor auto="1"/>
        </patternFill>
      </fill>
    </dxf>
    <dxf>
      <font>
        <b/>
        <i val="0"/>
        <color theme="6" tint="-0.24994659260841701"/>
      </font>
    </dxf>
    <dxf>
      <font>
        <condense val="0"/>
        <extend val="0"/>
        <color indexed="1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</dxf>
    <dxf>
      <border outline="0">
        <top style="thin">
          <color indexed="55"/>
        </top>
      </border>
    </dxf>
    <dxf>
      <font>
        <strike val="0"/>
        <outline val="0"/>
        <shadow val="0"/>
        <u val="none"/>
        <vertAlign val="baseline"/>
        <color auto="1"/>
        <name val="Trebuchet MS"/>
        <scheme val="minor"/>
      </font>
      <fill>
        <patternFill patternType="none">
          <fgColor indexed="64"/>
          <bgColor auto="1"/>
        </patternFill>
      </fill>
    </dxf>
    <dxf>
      <border outline="0">
        <bottom style="medium">
          <color indexed="23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color auto="1"/>
        <name val="Trebuchet MS"/>
        <scheme val="minor"/>
      </font>
      <fill>
        <patternFill patternType="none">
          <fgColor indexed="64"/>
          <bgColor auto="1"/>
        </patternFill>
      </fill>
    </dxf>
    <dxf>
      <border outline="0">
        <bottom style="medium">
          <color indexed="23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color auto="1"/>
        <name val="Trebuchet MS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color auto="1"/>
        <name val="Trebuchet MS"/>
        <scheme val="minor"/>
      </font>
      <fill>
        <patternFill patternType="none">
          <fgColor indexed="64"/>
          <bgColor auto="1"/>
        </patternFill>
      </fill>
    </dxf>
    <dxf>
      <border outline="0">
        <bottom style="medium">
          <color indexed="23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color auto="1"/>
        <name val="Trebuchet MS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color auto="1"/>
        <name val="Trebuchet MS"/>
        <scheme val="minor"/>
      </font>
      <fill>
        <patternFill patternType="none">
          <fgColor indexed="64"/>
          <bgColor auto="1"/>
        </patternFill>
      </fill>
    </dxf>
    <dxf>
      <border outline="0">
        <bottom style="medium">
          <color indexed="23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color auto="1"/>
        <name val="Trebuchet MS"/>
        <scheme val="minor"/>
      </font>
      <fill>
        <patternFill patternType="none">
          <fgColor indexed="64"/>
          <bgColor auto="1"/>
        </patternFill>
      </fill>
    </dxf>
    <dxf>
      <border outline="0">
        <bottom style="medium">
          <color indexed="23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Trebuchet MS"/>
        <scheme val="minor"/>
      </font>
      <fill>
        <patternFill patternType="none">
          <fgColor indexed="64"/>
          <bgColor auto="1"/>
        </patternFill>
      </fill>
    </dxf>
    <dxf>
      <border outline="0">
        <bottom style="medium">
          <color indexed="23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color auto="1"/>
        <name val="Trebuchet MS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color auto="1"/>
        <name val="Trebuchet MS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color auto="1"/>
        <name val="Trebuchet MS"/>
        <scheme val="minor"/>
      </font>
      <fill>
        <patternFill patternType="none">
          <fgColor indexed="64"/>
          <bgColor auto="1"/>
        </patternFill>
      </fill>
    </dxf>
    <dxf>
      <border outline="0">
        <bottom style="medium">
          <color indexed="23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color auto="1"/>
        <name val="Trebuchet MS"/>
        <scheme val="minor"/>
      </font>
      <fill>
        <patternFill patternType="none">
          <fgColor indexed="64"/>
          <bgColor auto="1"/>
        </patternFill>
      </fill>
    </dxf>
    <dxf>
      <border outline="0">
        <bottom style="medium">
          <color indexed="23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color auto="1"/>
        <name val="Trebuchet MS"/>
        <scheme val="minor"/>
      </font>
      <fill>
        <patternFill patternType="none">
          <fgColor indexed="64"/>
          <bgColor auto="1"/>
        </patternFill>
      </fill>
    </dxf>
    <dxf>
      <border outline="0">
        <bottom style="medium">
          <color indexed="23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border outline="0">
        <left style="thin">
          <color indexed="55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 outline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border outline="0">
        <right style="thin">
          <color indexed="55"/>
        </right>
      </border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color auto="1"/>
        <name val="Trebuchet MS"/>
        <scheme val="minor"/>
      </font>
      <fill>
        <patternFill patternType="none">
          <fgColor indexed="64"/>
          <bgColor auto="1"/>
        </patternFill>
      </fill>
    </dxf>
    <dxf>
      <border outline="0">
        <bottom style="medium">
          <color indexed="23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color auto="1"/>
        <name val="Trebuchet MS"/>
        <scheme val="minor"/>
      </font>
      <fill>
        <patternFill patternType="none">
          <fgColor indexed="64"/>
          <bgColor auto="1"/>
        </patternFill>
      </fill>
    </dxf>
    <dxf>
      <border outline="0">
        <bottom style="medium">
          <color indexed="23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major"/>
      </font>
      <fill>
        <patternFill patternType="none">
          <fgColor indexed="64"/>
          <bgColor auto="1"/>
        </patternFill>
      </fill>
    </dxf>
    <dxf>
      <font>
        <b/>
        <i val="0"/>
        <color theme="6" tint="-0.24994659260841701"/>
      </font>
    </dxf>
    <dxf>
      <font>
        <condense val="0"/>
        <extend val="0"/>
        <color indexed="1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</dxf>
    <dxf>
      <border outline="0">
        <top style="thin">
          <color indexed="55"/>
        </top>
      </border>
    </dxf>
    <dxf>
      <font>
        <strike val="0"/>
        <outline val="0"/>
        <shadow val="0"/>
        <u val="none"/>
        <vertAlign val="baseline"/>
        <color auto="1"/>
        <name val="Trebuchet MS"/>
        <scheme val="minor"/>
      </font>
      <fill>
        <patternFill patternType="none">
          <fgColor indexed="64"/>
          <bgColor auto="1"/>
        </patternFill>
      </fill>
    </dxf>
    <dxf>
      <border outline="0">
        <bottom style="medium">
          <color indexed="23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color auto="1"/>
        <name val="Trebuchet MS"/>
        <scheme val="minor"/>
      </font>
      <fill>
        <patternFill patternType="none">
          <fgColor indexed="64"/>
          <bgColor auto="1"/>
        </patternFill>
      </fill>
    </dxf>
    <dxf>
      <border outline="0">
        <bottom style="medium">
          <color indexed="23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color auto="1"/>
        <name val="Trebuchet MS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color auto="1"/>
        <name val="Trebuchet MS"/>
        <scheme val="minor"/>
      </font>
      <fill>
        <patternFill patternType="none">
          <fgColor indexed="64"/>
          <bgColor auto="1"/>
        </patternFill>
      </fill>
    </dxf>
    <dxf>
      <border outline="0">
        <bottom style="medium">
          <color indexed="23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color auto="1"/>
        <name val="Trebuchet MS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color auto="1"/>
        <name val="Trebuchet MS"/>
        <scheme val="minor"/>
      </font>
      <fill>
        <patternFill patternType="none">
          <fgColor indexed="64"/>
          <bgColor auto="1"/>
        </patternFill>
      </fill>
    </dxf>
    <dxf>
      <border outline="0">
        <bottom style="medium">
          <color indexed="23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color auto="1"/>
        <name val="Trebuchet MS"/>
        <scheme val="minor"/>
      </font>
      <fill>
        <patternFill patternType="none">
          <fgColor indexed="64"/>
          <bgColor auto="1"/>
        </patternFill>
      </fill>
    </dxf>
    <dxf>
      <border outline="0">
        <bottom style="medium">
          <color indexed="23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Trebuchet MS"/>
        <scheme val="minor"/>
      </font>
      <fill>
        <patternFill patternType="none">
          <fgColor indexed="64"/>
          <bgColor auto="1"/>
        </patternFill>
      </fill>
    </dxf>
    <dxf>
      <border outline="0">
        <bottom style="medium">
          <color indexed="23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color auto="1"/>
        <name val="Trebuchet MS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color auto="1"/>
        <name val="Trebuchet MS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color auto="1"/>
        <name val="Trebuchet MS"/>
        <scheme val="minor"/>
      </font>
      <fill>
        <patternFill patternType="none">
          <fgColor indexed="64"/>
          <bgColor auto="1"/>
        </patternFill>
      </fill>
    </dxf>
    <dxf>
      <border outline="0">
        <bottom style="medium">
          <color indexed="23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color auto="1"/>
        <name val="Trebuchet MS"/>
        <scheme val="minor"/>
      </font>
      <fill>
        <patternFill patternType="none">
          <fgColor indexed="64"/>
          <bgColor auto="1"/>
        </patternFill>
      </fill>
    </dxf>
    <dxf>
      <border outline="0">
        <bottom style="medium">
          <color indexed="23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color auto="1"/>
        <name val="Trebuchet MS"/>
        <scheme val="minor"/>
      </font>
      <fill>
        <patternFill patternType="none">
          <fgColor indexed="64"/>
          <bgColor auto="1"/>
        </patternFill>
      </fill>
    </dxf>
    <dxf>
      <border outline="0">
        <bottom style="medium">
          <color indexed="23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border outline="0">
        <left style="thin">
          <color indexed="55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 outline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border outline="0">
        <right style="thin">
          <color indexed="55"/>
        </right>
      </border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color auto="1"/>
        <name val="Trebuchet MS"/>
        <scheme val="minor"/>
      </font>
      <fill>
        <patternFill patternType="none">
          <fgColor indexed="64"/>
          <bgColor auto="1"/>
        </patternFill>
      </fill>
    </dxf>
    <dxf>
      <border outline="0">
        <bottom style="medium">
          <color indexed="23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color auto="1"/>
        <name val="Trebuchet MS"/>
        <scheme val="minor"/>
      </font>
      <fill>
        <patternFill patternType="none">
          <fgColor indexed="64"/>
          <bgColor auto="1"/>
        </patternFill>
      </fill>
    </dxf>
    <dxf>
      <border outline="0">
        <bottom style="medium">
          <color indexed="23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major"/>
      </font>
      <fill>
        <patternFill patternType="none">
          <fgColor indexed="64"/>
          <bgColor auto="1"/>
        </patternFill>
      </fill>
    </dxf>
    <dxf>
      <font>
        <b/>
        <i val="0"/>
        <color theme="6" tint="-0.24994659260841701"/>
      </font>
    </dxf>
    <dxf>
      <font>
        <condense val="0"/>
        <extend val="0"/>
        <color indexed="1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</dxf>
    <dxf>
      <border outline="0">
        <top style="thin">
          <color indexed="55"/>
        </top>
      </border>
    </dxf>
    <dxf>
      <font>
        <strike val="0"/>
        <outline val="0"/>
        <shadow val="0"/>
        <u val="none"/>
        <vertAlign val="baseline"/>
        <color auto="1"/>
        <name val="Trebuchet MS"/>
        <scheme val="minor"/>
      </font>
      <fill>
        <patternFill patternType="none">
          <fgColor indexed="64"/>
          <bgColor auto="1"/>
        </patternFill>
      </fill>
    </dxf>
    <dxf>
      <border outline="0">
        <bottom style="medium">
          <color indexed="23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color auto="1"/>
        <name val="Trebuchet MS"/>
        <scheme val="minor"/>
      </font>
      <fill>
        <patternFill patternType="none">
          <fgColor indexed="64"/>
          <bgColor auto="1"/>
        </patternFill>
      </fill>
    </dxf>
    <dxf>
      <border outline="0">
        <bottom style="medium">
          <color indexed="23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color auto="1"/>
        <name val="Trebuchet MS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color auto="1"/>
        <name val="Trebuchet MS"/>
        <scheme val="minor"/>
      </font>
      <fill>
        <patternFill patternType="none">
          <fgColor indexed="64"/>
          <bgColor auto="1"/>
        </patternFill>
      </fill>
    </dxf>
    <dxf>
      <border outline="0">
        <bottom style="medium">
          <color indexed="23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color auto="1"/>
        <name val="Trebuchet MS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color auto="1"/>
        <name val="Trebuchet MS"/>
        <scheme val="minor"/>
      </font>
      <fill>
        <patternFill patternType="none">
          <fgColor indexed="64"/>
          <bgColor auto="1"/>
        </patternFill>
      </fill>
    </dxf>
    <dxf>
      <border outline="0">
        <bottom style="medium">
          <color indexed="23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color auto="1"/>
        <name val="Trebuchet MS"/>
        <scheme val="minor"/>
      </font>
      <fill>
        <patternFill patternType="none">
          <fgColor indexed="64"/>
          <bgColor auto="1"/>
        </patternFill>
      </fill>
    </dxf>
    <dxf>
      <border outline="0">
        <bottom style="medium">
          <color indexed="23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Trebuchet MS"/>
        <scheme val="minor"/>
      </font>
      <fill>
        <patternFill patternType="none">
          <fgColor indexed="64"/>
          <bgColor auto="1"/>
        </patternFill>
      </fill>
    </dxf>
    <dxf>
      <border outline="0">
        <bottom style="medium">
          <color indexed="23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color auto="1"/>
        <name val="Trebuchet MS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color auto="1"/>
        <name val="Trebuchet MS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color auto="1"/>
        <name val="Trebuchet MS"/>
        <scheme val="minor"/>
      </font>
      <fill>
        <patternFill patternType="none">
          <fgColor indexed="64"/>
          <bgColor auto="1"/>
        </patternFill>
      </fill>
    </dxf>
    <dxf>
      <border outline="0">
        <bottom style="medium">
          <color indexed="23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color auto="1"/>
        <name val="Trebuchet MS"/>
        <scheme val="minor"/>
      </font>
      <fill>
        <patternFill patternType="none">
          <fgColor indexed="64"/>
          <bgColor auto="1"/>
        </patternFill>
      </fill>
    </dxf>
    <dxf>
      <border outline="0">
        <bottom style="medium">
          <color indexed="23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color auto="1"/>
        <name val="Trebuchet MS"/>
        <scheme val="minor"/>
      </font>
      <fill>
        <patternFill patternType="none">
          <fgColor indexed="64"/>
          <bgColor auto="1"/>
        </patternFill>
      </fill>
    </dxf>
    <dxf>
      <border outline="0">
        <bottom style="medium">
          <color indexed="23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border outline="0">
        <left style="thin">
          <color indexed="55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 outline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border outline="0">
        <right style="thin">
          <color indexed="55"/>
        </right>
      </border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color auto="1"/>
        <name val="Trebuchet MS"/>
        <scheme val="minor"/>
      </font>
      <fill>
        <patternFill patternType="none">
          <fgColor indexed="64"/>
          <bgColor auto="1"/>
        </patternFill>
      </fill>
    </dxf>
    <dxf>
      <border outline="0">
        <bottom style="medium">
          <color indexed="23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color auto="1"/>
        <name val="Trebuchet MS"/>
        <scheme val="minor"/>
      </font>
      <fill>
        <patternFill patternType="none">
          <fgColor indexed="64"/>
          <bgColor auto="1"/>
        </patternFill>
      </fill>
    </dxf>
    <dxf>
      <border outline="0">
        <bottom style="medium">
          <color indexed="23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major"/>
      </font>
      <fill>
        <patternFill patternType="none">
          <fgColor indexed="64"/>
          <bgColor auto="1"/>
        </patternFill>
      </fill>
    </dxf>
    <dxf>
      <font>
        <b/>
        <i val="0"/>
        <color theme="6" tint="-0.24994659260841701"/>
      </font>
    </dxf>
    <dxf>
      <font>
        <condense val="0"/>
        <extend val="0"/>
        <color indexed="1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</dxf>
    <dxf>
      <border outline="0">
        <top style="thin">
          <color indexed="55"/>
        </top>
      </border>
    </dxf>
    <dxf>
      <font>
        <strike val="0"/>
        <outline val="0"/>
        <shadow val="0"/>
        <u val="none"/>
        <vertAlign val="baseline"/>
        <color auto="1"/>
        <name val="Trebuchet MS"/>
        <scheme val="minor"/>
      </font>
      <fill>
        <patternFill patternType="none">
          <fgColor indexed="64"/>
          <bgColor auto="1"/>
        </patternFill>
      </fill>
    </dxf>
    <dxf>
      <border outline="0">
        <bottom style="medium">
          <color indexed="23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color auto="1"/>
        <name val="Trebuchet MS"/>
        <scheme val="minor"/>
      </font>
      <fill>
        <patternFill patternType="none">
          <fgColor indexed="64"/>
          <bgColor auto="1"/>
        </patternFill>
      </fill>
    </dxf>
    <dxf>
      <border outline="0">
        <bottom style="medium">
          <color indexed="23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color auto="1"/>
        <name val="Trebuchet MS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color auto="1"/>
        <name val="Trebuchet MS"/>
        <scheme val="minor"/>
      </font>
      <fill>
        <patternFill patternType="none">
          <fgColor indexed="64"/>
          <bgColor auto="1"/>
        </patternFill>
      </fill>
    </dxf>
    <dxf>
      <border outline="0">
        <bottom style="medium">
          <color indexed="23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color auto="1"/>
        <name val="Trebuchet MS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color auto="1"/>
        <name val="Trebuchet MS"/>
        <scheme val="minor"/>
      </font>
      <fill>
        <patternFill patternType="none">
          <fgColor indexed="64"/>
          <bgColor auto="1"/>
        </patternFill>
      </fill>
    </dxf>
    <dxf>
      <border outline="0">
        <bottom style="medium">
          <color indexed="23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color auto="1"/>
        <name val="Trebuchet MS"/>
        <scheme val="minor"/>
      </font>
      <fill>
        <patternFill patternType="none">
          <fgColor indexed="64"/>
          <bgColor auto="1"/>
        </patternFill>
      </fill>
    </dxf>
    <dxf>
      <border outline="0">
        <bottom style="medium">
          <color indexed="23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Trebuchet MS"/>
        <scheme val="minor"/>
      </font>
      <fill>
        <patternFill patternType="none">
          <fgColor indexed="64"/>
          <bgColor auto="1"/>
        </patternFill>
      </fill>
    </dxf>
    <dxf>
      <border outline="0">
        <bottom style="medium">
          <color indexed="23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color auto="1"/>
        <name val="Trebuchet MS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color auto="1"/>
        <name val="Trebuchet MS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color auto="1"/>
        <name val="Trebuchet MS"/>
        <scheme val="minor"/>
      </font>
      <fill>
        <patternFill patternType="none">
          <fgColor indexed="64"/>
          <bgColor auto="1"/>
        </patternFill>
      </fill>
    </dxf>
    <dxf>
      <border outline="0">
        <bottom style="medium">
          <color indexed="23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color auto="1"/>
        <name val="Trebuchet MS"/>
        <scheme val="minor"/>
      </font>
      <fill>
        <patternFill patternType="none">
          <fgColor indexed="64"/>
          <bgColor auto="1"/>
        </patternFill>
      </fill>
    </dxf>
    <dxf>
      <border outline="0">
        <bottom style="medium">
          <color indexed="23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color auto="1"/>
        <name val="Trebuchet MS"/>
        <scheme val="minor"/>
      </font>
      <fill>
        <patternFill patternType="none">
          <fgColor indexed="64"/>
          <bgColor auto="1"/>
        </patternFill>
      </fill>
    </dxf>
    <dxf>
      <border outline="0">
        <bottom style="medium">
          <color indexed="23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border outline="0">
        <left style="thin">
          <color indexed="55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 outline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border outline="0">
        <right style="thin">
          <color indexed="55"/>
        </right>
      </border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color auto="1"/>
        <name val="Trebuchet MS"/>
        <scheme val="minor"/>
      </font>
      <fill>
        <patternFill patternType="none">
          <fgColor indexed="64"/>
          <bgColor auto="1"/>
        </patternFill>
      </fill>
    </dxf>
    <dxf>
      <border outline="0">
        <bottom style="medium">
          <color indexed="23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color auto="1"/>
        <name val="Trebuchet MS"/>
        <scheme val="minor"/>
      </font>
      <fill>
        <patternFill patternType="none">
          <fgColor indexed="64"/>
          <bgColor auto="1"/>
        </patternFill>
      </fill>
    </dxf>
    <dxf>
      <border outline="0">
        <bottom style="medium">
          <color indexed="23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major"/>
      </font>
      <fill>
        <patternFill patternType="none">
          <fgColor indexed="64"/>
          <bgColor auto="1"/>
        </patternFill>
      </fill>
    </dxf>
    <dxf>
      <font>
        <b/>
        <i val="0"/>
        <color theme="6" tint="-0.24994659260841701"/>
      </font>
    </dxf>
    <dxf>
      <font>
        <condense val="0"/>
        <extend val="0"/>
        <color indexed="1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</dxf>
    <dxf>
      <border outline="0">
        <top style="thin">
          <color indexed="55"/>
        </top>
      </border>
    </dxf>
    <dxf>
      <font>
        <strike val="0"/>
        <outline val="0"/>
        <shadow val="0"/>
        <u val="none"/>
        <vertAlign val="baseline"/>
        <color auto="1"/>
        <name val="Trebuchet MS"/>
        <scheme val="minor"/>
      </font>
      <fill>
        <patternFill patternType="none">
          <fgColor indexed="64"/>
          <bgColor auto="1"/>
        </patternFill>
      </fill>
    </dxf>
    <dxf>
      <border outline="0">
        <bottom style="medium">
          <color indexed="23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color auto="1"/>
        <name val="Trebuchet MS"/>
        <scheme val="minor"/>
      </font>
      <fill>
        <patternFill patternType="none">
          <fgColor indexed="64"/>
          <bgColor auto="1"/>
        </patternFill>
      </fill>
    </dxf>
    <dxf>
      <border outline="0">
        <bottom style="medium">
          <color indexed="23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color auto="1"/>
        <name val="Trebuchet MS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color auto="1"/>
        <name val="Trebuchet MS"/>
        <scheme val="minor"/>
      </font>
      <fill>
        <patternFill patternType="none">
          <fgColor indexed="64"/>
          <bgColor auto="1"/>
        </patternFill>
      </fill>
    </dxf>
    <dxf>
      <border outline="0">
        <bottom style="medium">
          <color indexed="23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color auto="1"/>
        <name val="Trebuchet MS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color auto="1"/>
        <name val="Trebuchet MS"/>
        <scheme val="minor"/>
      </font>
      <fill>
        <patternFill patternType="none">
          <fgColor indexed="64"/>
          <bgColor auto="1"/>
        </patternFill>
      </fill>
    </dxf>
    <dxf>
      <border outline="0">
        <bottom style="medium">
          <color indexed="23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color auto="1"/>
        <name val="Trebuchet MS"/>
        <scheme val="minor"/>
      </font>
      <fill>
        <patternFill patternType="none">
          <fgColor indexed="64"/>
          <bgColor auto="1"/>
        </patternFill>
      </fill>
    </dxf>
    <dxf>
      <border outline="0">
        <bottom style="medium">
          <color indexed="23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Trebuchet MS"/>
        <scheme val="minor"/>
      </font>
      <fill>
        <patternFill patternType="none">
          <fgColor indexed="64"/>
          <bgColor auto="1"/>
        </patternFill>
      </fill>
    </dxf>
    <dxf>
      <border outline="0">
        <bottom style="medium">
          <color indexed="23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color auto="1"/>
        <name val="Trebuchet MS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color auto="1"/>
        <name val="Trebuchet MS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color auto="1"/>
        <name val="Trebuchet MS"/>
        <scheme val="minor"/>
      </font>
      <fill>
        <patternFill patternType="none">
          <fgColor indexed="64"/>
          <bgColor auto="1"/>
        </patternFill>
      </fill>
    </dxf>
    <dxf>
      <border outline="0">
        <bottom style="medium">
          <color indexed="23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color auto="1"/>
        <name val="Trebuchet MS"/>
        <scheme val="minor"/>
      </font>
      <fill>
        <patternFill patternType="none">
          <fgColor indexed="64"/>
          <bgColor auto="1"/>
        </patternFill>
      </fill>
    </dxf>
    <dxf>
      <border outline="0">
        <bottom style="medium">
          <color indexed="23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color auto="1"/>
        <name val="Trebuchet MS"/>
        <scheme val="minor"/>
      </font>
      <fill>
        <patternFill patternType="none">
          <fgColor indexed="64"/>
          <bgColor auto="1"/>
        </patternFill>
      </fill>
    </dxf>
    <dxf>
      <border outline="0">
        <bottom style="medium">
          <color indexed="23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border outline="0">
        <left style="thin">
          <color indexed="55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 outline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border outline="0">
        <right style="thin">
          <color indexed="55"/>
        </right>
      </border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color auto="1"/>
        <name val="Trebuchet MS"/>
        <scheme val="minor"/>
      </font>
      <fill>
        <patternFill patternType="none">
          <fgColor indexed="64"/>
          <bgColor auto="1"/>
        </patternFill>
      </fill>
    </dxf>
    <dxf>
      <border outline="0">
        <bottom style="medium">
          <color indexed="23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color auto="1"/>
        <name val="Trebuchet MS"/>
        <scheme val="minor"/>
      </font>
      <fill>
        <patternFill patternType="none">
          <fgColor indexed="64"/>
          <bgColor auto="1"/>
        </patternFill>
      </fill>
    </dxf>
    <dxf>
      <border outline="0">
        <bottom style="medium">
          <color indexed="23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major"/>
      </font>
      <fill>
        <patternFill patternType="none">
          <fgColor indexed="64"/>
          <bgColor auto="1"/>
        </patternFill>
      </fill>
    </dxf>
    <dxf>
      <font>
        <b/>
        <i val="0"/>
        <color theme="6" tint="-0.24994659260841701"/>
      </font>
    </dxf>
    <dxf>
      <font>
        <condense val="0"/>
        <extend val="0"/>
        <color indexed="1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</dxf>
    <dxf>
      <border outline="0">
        <top style="thin">
          <color indexed="55"/>
        </top>
      </border>
    </dxf>
    <dxf>
      <font>
        <strike val="0"/>
        <outline val="0"/>
        <shadow val="0"/>
        <u val="none"/>
        <vertAlign val="baseline"/>
        <color auto="1"/>
        <name val="Trebuchet MS"/>
        <scheme val="minor"/>
      </font>
      <fill>
        <patternFill patternType="none">
          <fgColor indexed="64"/>
          <bgColor auto="1"/>
        </patternFill>
      </fill>
    </dxf>
    <dxf>
      <border outline="0">
        <bottom style="medium">
          <color indexed="23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color auto="1"/>
        <name val="Trebuchet MS"/>
        <scheme val="minor"/>
      </font>
      <fill>
        <patternFill patternType="none">
          <fgColor indexed="64"/>
          <bgColor auto="1"/>
        </patternFill>
      </fill>
    </dxf>
    <dxf>
      <border outline="0">
        <bottom style="medium">
          <color indexed="23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color auto="1"/>
        <name val="Trebuchet MS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color auto="1"/>
        <name val="Trebuchet MS"/>
        <scheme val="minor"/>
      </font>
      <fill>
        <patternFill patternType="none">
          <fgColor indexed="64"/>
          <bgColor auto="1"/>
        </patternFill>
      </fill>
    </dxf>
    <dxf>
      <border outline="0">
        <bottom style="medium">
          <color indexed="23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color auto="1"/>
        <name val="Trebuchet MS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color auto="1"/>
        <name val="Trebuchet MS"/>
        <scheme val="minor"/>
      </font>
      <fill>
        <patternFill patternType="none">
          <fgColor indexed="64"/>
          <bgColor auto="1"/>
        </patternFill>
      </fill>
    </dxf>
    <dxf>
      <border outline="0">
        <bottom style="medium">
          <color indexed="23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color auto="1"/>
        <name val="Trebuchet MS"/>
        <scheme val="minor"/>
      </font>
      <fill>
        <patternFill patternType="none">
          <fgColor indexed="64"/>
          <bgColor auto="1"/>
        </patternFill>
      </fill>
    </dxf>
    <dxf>
      <border outline="0">
        <bottom style="medium">
          <color indexed="23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Trebuchet MS"/>
        <scheme val="minor"/>
      </font>
      <fill>
        <patternFill patternType="none">
          <fgColor indexed="64"/>
          <bgColor auto="1"/>
        </patternFill>
      </fill>
    </dxf>
    <dxf>
      <border outline="0">
        <bottom style="medium">
          <color indexed="23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color auto="1"/>
        <name val="Trebuchet MS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color auto="1"/>
        <name val="Trebuchet MS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color auto="1"/>
        <name val="Trebuchet MS"/>
        <scheme val="minor"/>
      </font>
      <fill>
        <patternFill patternType="none">
          <fgColor indexed="64"/>
          <bgColor auto="1"/>
        </patternFill>
      </fill>
    </dxf>
    <dxf>
      <border outline="0">
        <bottom style="medium">
          <color indexed="23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color auto="1"/>
        <name val="Trebuchet MS"/>
        <scheme val="minor"/>
      </font>
      <fill>
        <patternFill patternType="none">
          <fgColor indexed="64"/>
          <bgColor auto="1"/>
        </patternFill>
      </fill>
    </dxf>
    <dxf>
      <border outline="0">
        <bottom style="medium">
          <color indexed="23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color auto="1"/>
        <name val="Trebuchet MS"/>
        <scheme val="minor"/>
      </font>
      <fill>
        <patternFill patternType="none">
          <fgColor indexed="64"/>
          <bgColor auto="1"/>
        </patternFill>
      </fill>
    </dxf>
    <dxf>
      <border outline="0">
        <bottom style="medium">
          <color indexed="23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border outline="0">
        <left style="thin">
          <color indexed="55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 outline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border outline="0">
        <right style="thin">
          <color indexed="55"/>
        </right>
      </border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color auto="1"/>
        <name val="Trebuchet MS"/>
        <scheme val="minor"/>
      </font>
      <fill>
        <patternFill patternType="none">
          <fgColor indexed="64"/>
          <bgColor auto="1"/>
        </patternFill>
      </fill>
    </dxf>
    <dxf>
      <border outline="0">
        <bottom style="medium">
          <color indexed="23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color auto="1"/>
        <name val="Trebuchet MS"/>
        <scheme val="minor"/>
      </font>
      <fill>
        <patternFill patternType="none">
          <fgColor indexed="64"/>
          <bgColor auto="1"/>
        </patternFill>
      </fill>
    </dxf>
    <dxf>
      <border outline="0">
        <bottom style="medium">
          <color indexed="23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major"/>
      </font>
      <fill>
        <patternFill patternType="none">
          <fgColor indexed="64"/>
          <bgColor auto="1"/>
        </patternFill>
      </fill>
    </dxf>
    <dxf>
      <font>
        <b/>
        <i val="0"/>
        <color theme="6" tint="-0.24994659260841701"/>
      </font>
    </dxf>
    <dxf>
      <font>
        <condense val="0"/>
        <extend val="0"/>
        <color indexed="1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</dxf>
    <dxf>
      <border outline="0">
        <top style="thin">
          <color indexed="55"/>
        </top>
      </border>
    </dxf>
    <dxf>
      <font>
        <strike val="0"/>
        <outline val="0"/>
        <shadow val="0"/>
        <u val="none"/>
        <vertAlign val="baseline"/>
        <color auto="1"/>
        <name val="Trebuchet MS"/>
        <scheme val="minor"/>
      </font>
      <fill>
        <patternFill patternType="none">
          <fgColor indexed="64"/>
          <bgColor auto="1"/>
        </patternFill>
      </fill>
    </dxf>
    <dxf>
      <border outline="0">
        <bottom style="medium">
          <color indexed="23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color auto="1"/>
        <name val="Trebuchet MS"/>
        <scheme val="minor"/>
      </font>
      <fill>
        <patternFill patternType="none">
          <fgColor indexed="64"/>
          <bgColor auto="1"/>
        </patternFill>
      </fill>
    </dxf>
    <dxf>
      <border outline="0">
        <bottom style="medium">
          <color indexed="23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strike val="0"/>
        <outline val="0"/>
        <shadow val="0"/>
        <u val="none"/>
        <vertAlign val="baseline"/>
        <color auto="1"/>
        <name val="Trebuchet MS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color auto="1"/>
        <name val="Trebuchet MS"/>
        <scheme val="minor"/>
      </font>
      <fill>
        <patternFill patternType="none">
          <fgColor indexed="64"/>
          <bgColor auto="1"/>
        </patternFill>
      </fill>
    </dxf>
    <dxf>
      <border outline="0">
        <bottom style="medium">
          <color indexed="23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color auto="1"/>
        <name val="Trebuchet MS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color auto="1"/>
        <name val="Trebuchet MS"/>
        <scheme val="minor"/>
      </font>
      <fill>
        <patternFill patternType="none">
          <fgColor indexed="64"/>
          <bgColor auto="1"/>
        </patternFill>
      </fill>
    </dxf>
    <dxf>
      <border outline="0">
        <bottom style="medium">
          <color indexed="23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color auto="1"/>
        <name val="Trebuchet MS"/>
        <scheme val="minor"/>
      </font>
      <fill>
        <patternFill patternType="none">
          <fgColor indexed="64"/>
          <bgColor auto="1"/>
        </patternFill>
      </fill>
    </dxf>
    <dxf>
      <border outline="0">
        <bottom style="medium">
          <color indexed="23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Trebuchet MS"/>
        <scheme val="minor"/>
      </font>
      <fill>
        <patternFill patternType="none">
          <fgColor indexed="64"/>
          <bgColor auto="1"/>
        </patternFill>
      </fill>
    </dxf>
    <dxf>
      <border outline="0">
        <bottom style="medium">
          <color indexed="23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Trebuchet MS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Trebuchet MS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color auto="1"/>
        <name val="Trebuchet MS"/>
        <scheme val="minor"/>
      </font>
      <fill>
        <patternFill patternType="none">
          <fgColor indexed="64"/>
          <bgColor auto="1"/>
        </patternFill>
      </fill>
    </dxf>
    <dxf>
      <border outline="0">
        <bottom style="medium">
          <color indexed="23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color auto="1"/>
        <name val="Trebuchet MS"/>
        <scheme val="minor"/>
      </font>
      <fill>
        <patternFill patternType="none">
          <fgColor indexed="64"/>
          <bgColor auto="1"/>
        </patternFill>
      </fill>
    </dxf>
    <dxf>
      <border outline="0">
        <bottom style="medium">
          <color indexed="23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color auto="1"/>
        <name val="Trebuchet MS"/>
        <scheme val="minor"/>
      </font>
      <fill>
        <patternFill patternType="none">
          <fgColor indexed="64"/>
          <bgColor auto="1"/>
        </patternFill>
      </fill>
    </dxf>
    <dxf>
      <border outline="0">
        <bottom style="medium">
          <color indexed="23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border outline="0">
        <left style="thin">
          <color indexed="55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 outline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border outline="0">
        <right style="thin">
          <color indexed="55"/>
        </right>
      </border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color auto="1"/>
        <name val="Trebuchet MS"/>
        <scheme val="minor"/>
      </font>
      <fill>
        <patternFill patternType="none">
          <fgColor indexed="64"/>
          <bgColor auto="1"/>
        </patternFill>
      </fill>
    </dxf>
    <dxf>
      <border outline="0">
        <bottom style="medium">
          <color indexed="23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major"/>
      </font>
      <fill>
        <patternFill patternType="none">
          <fgColor indexed="64"/>
          <bgColor auto="1"/>
        </patternFill>
      </fill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color auto="1"/>
        <name val="Trebuchet MS"/>
        <scheme val="minor"/>
      </font>
      <fill>
        <patternFill patternType="none">
          <fgColor indexed="64"/>
          <bgColor auto="1"/>
        </patternFill>
      </fill>
    </dxf>
    <dxf>
      <border outline="0">
        <bottom style="medium">
          <color indexed="23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major"/>
      </font>
      <fill>
        <patternFill patternType="none">
          <fgColor indexed="64"/>
          <bgColor auto="1"/>
        </patternFill>
      </fill>
    </dxf>
    <dxf>
      <font>
        <b/>
        <i val="0"/>
        <color theme="6" tint="-0.24994659260841701"/>
      </font>
    </dxf>
    <dxf>
      <font>
        <condense val="0"/>
        <extend val="0"/>
        <color indexed="1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</dxf>
    <dxf>
      <border outline="0">
        <top style="thin">
          <color indexed="55"/>
        </top>
      </border>
    </dxf>
    <dxf>
      <font>
        <strike val="0"/>
        <outline val="0"/>
        <shadow val="0"/>
        <u val="none"/>
        <vertAlign val="baseline"/>
        <color auto="1"/>
        <name val="Trebuchet MS"/>
        <scheme val="minor"/>
      </font>
      <fill>
        <patternFill patternType="none">
          <fgColor indexed="64"/>
          <bgColor auto="1"/>
        </patternFill>
      </fill>
    </dxf>
    <dxf>
      <border outline="0">
        <bottom style="medium">
          <color indexed="23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color auto="1"/>
        <name val="Trebuchet MS"/>
        <scheme val="minor"/>
      </font>
      <fill>
        <patternFill patternType="none">
          <fgColor indexed="64"/>
          <bgColor auto="1"/>
        </patternFill>
      </fill>
    </dxf>
    <dxf>
      <border outline="0">
        <bottom style="medium">
          <color indexed="23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strike val="0"/>
        <outline val="0"/>
        <shadow val="0"/>
        <u val="none"/>
        <vertAlign val="baseline"/>
        <color auto="1"/>
        <name val="Trebuchet MS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color auto="1"/>
        <name val="Trebuchet MS"/>
        <scheme val="minor"/>
      </font>
      <fill>
        <patternFill patternType="none">
          <fgColor indexed="64"/>
          <bgColor auto="1"/>
        </patternFill>
      </fill>
    </dxf>
    <dxf>
      <border outline="0">
        <bottom style="medium">
          <color indexed="23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strike val="0"/>
        <outline val="0"/>
        <shadow val="0"/>
        <u val="none"/>
        <vertAlign val="baseline"/>
        <color auto="1"/>
        <name val="Trebuchet MS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color auto="1"/>
        <name val="Trebuchet MS"/>
        <scheme val="minor"/>
      </font>
      <fill>
        <patternFill patternType="none">
          <fgColor indexed="64"/>
          <bgColor auto="1"/>
        </patternFill>
      </fill>
    </dxf>
    <dxf>
      <border outline="0">
        <bottom style="medium">
          <color indexed="23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color auto="1"/>
        <name val="Trebuchet MS"/>
        <scheme val="minor"/>
      </font>
      <fill>
        <patternFill patternType="none">
          <fgColor indexed="64"/>
          <bgColor auto="1"/>
        </patternFill>
      </fill>
    </dxf>
    <dxf>
      <border outline="0">
        <bottom style="medium">
          <color indexed="23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Trebuchet MS"/>
        <scheme val="minor"/>
      </font>
      <fill>
        <patternFill patternType="none">
          <fgColor indexed="64"/>
          <bgColor auto="1"/>
        </patternFill>
      </fill>
    </dxf>
    <dxf>
      <border outline="0">
        <bottom style="medium">
          <color indexed="23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Trebuchet MS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Trebuchet MS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color auto="1"/>
        <name val="Trebuchet MS"/>
        <scheme val="minor"/>
      </font>
      <fill>
        <patternFill patternType="none">
          <fgColor indexed="64"/>
          <bgColor auto="1"/>
        </patternFill>
      </fill>
    </dxf>
    <dxf>
      <border outline="0">
        <bottom style="medium">
          <color indexed="23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color auto="1"/>
        <name val="Trebuchet MS"/>
        <scheme val="minor"/>
      </font>
      <fill>
        <patternFill patternType="none">
          <fgColor indexed="64"/>
          <bgColor auto="1"/>
        </patternFill>
      </fill>
    </dxf>
    <dxf>
      <border outline="0">
        <bottom style="medium">
          <color indexed="23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color auto="1"/>
        <name val="Trebuchet MS"/>
        <scheme val="minor"/>
      </font>
      <fill>
        <patternFill patternType="none">
          <fgColor indexed="64"/>
          <bgColor auto="1"/>
        </patternFill>
      </fill>
    </dxf>
    <dxf>
      <border outline="0">
        <bottom style="medium">
          <color indexed="23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border outline="0">
        <left style="thin">
          <color indexed="55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 outline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border outline="0">
        <right style="thin">
          <color indexed="55"/>
        </right>
      </border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color auto="1"/>
        <name val="Trebuchet MS"/>
        <scheme val="minor"/>
      </font>
      <fill>
        <patternFill patternType="none">
          <fgColor indexed="64"/>
          <bgColor auto="1"/>
        </patternFill>
      </fill>
    </dxf>
    <dxf>
      <border outline="0">
        <bottom style="medium">
          <color indexed="23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major"/>
      </font>
      <fill>
        <patternFill patternType="none">
          <fgColor indexed="64"/>
          <bgColor auto="1"/>
        </patternFill>
      </fill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color auto="1"/>
        <name val="Trebuchet MS"/>
        <scheme val="minor"/>
      </font>
      <fill>
        <patternFill patternType="none">
          <fgColor indexed="64"/>
          <bgColor auto="1"/>
        </patternFill>
      </fill>
    </dxf>
    <dxf>
      <border outline="0">
        <bottom style="medium">
          <color indexed="23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major"/>
      </font>
      <fill>
        <patternFill patternType="none">
          <fgColor indexed="64"/>
          <bgColor auto="1"/>
        </patternFill>
      </fill>
    </dxf>
    <dxf>
      <font>
        <b/>
        <i val="0"/>
        <color theme="6" tint="-0.24994659260841701"/>
      </font>
    </dxf>
    <dxf>
      <font>
        <condense val="0"/>
        <extend val="0"/>
        <color indexed="1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</dxf>
    <dxf>
      <border outline="0">
        <top style="thin">
          <color indexed="55"/>
        </top>
      </border>
    </dxf>
    <dxf>
      <font>
        <strike val="0"/>
        <outline val="0"/>
        <shadow val="0"/>
        <u val="none"/>
        <vertAlign val="baseline"/>
        <color auto="1"/>
        <name val="Trebuchet MS"/>
        <scheme val="minor"/>
      </font>
      <fill>
        <patternFill patternType="none">
          <fgColor indexed="64"/>
          <bgColor auto="1"/>
        </patternFill>
      </fill>
    </dxf>
    <dxf>
      <border outline="0">
        <bottom style="medium">
          <color indexed="23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color auto="1"/>
        <name val="Trebuchet MS"/>
        <scheme val="minor"/>
      </font>
      <fill>
        <patternFill patternType="none">
          <fgColor indexed="64"/>
          <bgColor auto="1"/>
        </patternFill>
      </fill>
    </dxf>
    <dxf>
      <border outline="0">
        <bottom style="medium">
          <color indexed="23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strike val="0"/>
        <outline val="0"/>
        <shadow val="0"/>
        <u val="none"/>
        <vertAlign val="baseline"/>
        <color auto="1"/>
        <name val="Trebuchet MS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color auto="1"/>
        <name val="Trebuchet MS"/>
        <scheme val="minor"/>
      </font>
      <fill>
        <patternFill patternType="none">
          <fgColor indexed="64"/>
          <bgColor auto="1"/>
        </patternFill>
      </fill>
    </dxf>
    <dxf>
      <border outline="0">
        <bottom style="medium">
          <color indexed="23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strike val="0"/>
        <outline val="0"/>
        <shadow val="0"/>
        <u val="none"/>
        <vertAlign val="baseline"/>
        <color auto="1"/>
        <name val="Trebuchet MS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color auto="1"/>
        <name val="Trebuchet MS"/>
        <scheme val="minor"/>
      </font>
      <fill>
        <patternFill patternType="none">
          <fgColor indexed="64"/>
          <bgColor auto="1"/>
        </patternFill>
      </fill>
    </dxf>
    <dxf>
      <border outline="0">
        <bottom style="medium">
          <color indexed="23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color auto="1"/>
        <name val="Trebuchet MS"/>
        <scheme val="minor"/>
      </font>
      <fill>
        <patternFill patternType="none">
          <fgColor indexed="64"/>
          <bgColor auto="1"/>
        </patternFill>
      </fill>
    </dxf>
    <dxf>
      <border outline="0">
        <bottom style="medium">
          <color indexed="23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Trebuchet MS"/>
        <scheme val="minor"/>
      </font>
      <fill>
        <patternFill patternType="none">
          <fgColor indexed="64"/>
          <bgColor auto="1"/>
        </patternFill>
      </fill>
    </dxf>
    <dxf>
      <border outline="0">
        <bottom style="medium">
          <color indexed="23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Trebuchet MS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Trebuchet MS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color auto="1"/>
        <name val="Trebuchet MS"/>
        <scheme val="minor"/>
      </font>
      <fill>
        <patternFill patternType="none">
          <fgColor indexed="64"/>
          <bgColor auto="1"/>
        </patternFill>
      </fill>
    </dxf>
    <dxf>
      <border outline="0">
        <bottom style="medium">
          <color indexed="23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color auto="1"/>
        <name val="Trebuchet MS"/>
        <scheme val="minor"/>
      </font>
      <fill>
        <patternFill patternType="none">
          <fgColor indexed="64"/>
          <bgColor auto="1"/>
        </patternFill>
      </fill>
    </dxf>
    <dxf>
      <border outline="0">
        <bottom style="medium">
          <color indexed="23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color auto="1"/>
        <name val="Trebuchet MS"/>
        <scheme val="minor"/>
      </font>
      <fill>
        <patternFill patternType="none">
          <fgColor indexed="64"/>
          <bgColor auto="1"/>
        </patternFill>
      </fill>
    </dxf>
    <dxf>
      <border outline="0">
        <bottom style="medium">
          <color indexed="23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border outline="0">
        <left style="thin">
          <color indexed="55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 outline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border outline="0">
        <right style="thin">
          <color indexed="55"/>
        </right>
      </border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color auto="1"/>
        <name val="Trebuchet MS"/>
        <scheme val="minor"/>
      </font>
      <fill>
        <patternFill patternType="none">
          <fgColor indexed="64"/>
          <bgColor auto="1"/>
        </patternFill>
      </fill>
    </dxf>
    <dxf>
      <border outline="0">
        <bottom style="medium">
          <color indexed="23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major"/>
      </font>
      <fill>
        <patternFill patternType="none">
          <fgColor indexed="64"/>
          <bgColor auto="1"/>
        </patternFill>
      </fill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color auto="1"/>
        <name val="Trebuchet MS"/>
        <scheme val="minor"/>
      </font>
      <fill>
        <patternFill patternType="none">
          <fgColor indexed="64"/>
          <bgColor auto="1"/>
        </patternFill>
      </fill>
    </dxf>
    <dxf>
      <border outline="0">
        <bottom style="medium">
          <color indexed="23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major"/>
      </font>
      <fill>
        <patternFill patternType="none">
          <fgColor indexed="64"/>
          <bgColor auto="1"/>
        </patternFill>
      </fill>
    </dxf>
    <dxf>
      <font>
        <b/>
        <i val="0"/>
        <color theme="6" tint="-0.24994659260841701"/>
      </font>
    </dxf>
    <dxf>
      <font>
        <condense val="0"/>
        <extend val="0"/>
        <color indexed="1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</dxf>
    <dxf>
      <border outline="0">
        <top style="thin">
          <color indexed="55"/>
        </top>
      </border>
    </dxf>
    <dxf>
      <font>
        <strike val="0"/>
        <outline val="0"/>
        <shadow val="0"/>
        <u val="none"/>
        <vertAlign val="baseline"/>
        <color auto="1"/>
        <name val="Trebuchet MS"/>
        <scheme val="minor"/>
      </font>
      <fill>
        <patternFill patternType="none">
          <fgColor indexed="64"/>
          <bgColor auto="1"/>
        </patternFill>
      </fill>
    </dxf>
    <dxf>
      <border outline="0">
        <bottom style="medium">
          <color indexed="23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color auto="1"/>
        <name val="Trebuchet MS"/>
        <scheme val="minor"/>
      </font>
      <fill>
        <patternFill patternType="none">
          <fgColor indexed="64"/>
          <bgColor auto="1"/>
        </patternFill>
      </fill>
    </dxf>
    <dxf>
      <border outline="0">
        <bottom style="medium">
          <color indexed="23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strike val="0"/>
        <outline val="0"/>
        <shadow val="0"/>
        <u val="none"/>
        <vertAlign val="baseline"/>
        <color auto="1"/>
        <name val="Trebuchet MS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color auto="1"/>
        <name val="Trebuchet MS"/>
        <scheme val="minor"/>
      </font>
      <fill>
        <patternFill patternType="none">
          <fgColor indexed="64"/>
          <bgColor auto="1"/>
        </patternFill>
      </fill>
    </dxf>
    <dxf>
      <border outline="0">
        <bottom style="medium">
          <color indexed="23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strike val="0"/>
        <outline val="0"/>
        <shadow val="0"/>
        <u val="none"/>
        <vertAlign val="baseline"/>
        <color auto="1"/>
        <name val="Trebuchet MS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color auto="1"/>
        <name val="Trebuchet MS"/>
        <scheme val="minor"/>
      </font>
      <fill>
        <patternFill patternType="none">
          <fgColor indexed="64"/>
          <bgColor auto="1"/>
        </patternFill>
      </fill>
    </dxf>
    <dxf>
      <border outline="0">
        <bottom style="medium">
          <color indexed="23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color auto="1"/>
        <name val="Trebuchet MS"/>
        <scheme val="minor"/>
      </font>
      <fill>
        <patternFill patternType="none">
          <fgColor indexed="64"/>
          <bgColor auto="1"/>
        </patternFill>
      </fill>
    </dxf>
    <dxf>
      <border outline="0">
        <bottom style="medium">
          <color indexed="23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Trebuchet MS"/>
        <scheme val="minor"/>
      </font>
      <fill>
        <patternFill patternType="none">
          <fgColor indexed="64"/>
          <bgColor auto="1"/>
        </patternFill>
      </fill>
    </dxf>
    <dxf>
      <border outline="0">
        <bottom style="medium">
          <color indexed="23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Trebuchet MS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Trebuchet MS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color auto="1"/>
        <name val="Trebuchet MS"/>
        <scheme val="minor"/>
      </font>
      <fill>
        <patternFill patternType="none">
          <fgColor indexed="64"/>
          <bgColor auto="1"/>
        </patternFill>
      </fill>
    </dxf>
    <dxf>
      <border outline="0">
        <bottom style="medium">
          <color indexed="23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color auto="1"/>
        <name val="Trebuchet MS"/>
        <scheme val="minor"/>
      </font>
      <fill>
        <patternFill patternType="none">
          <fgColor indexed="64"/>
          <bgColor auto="1"/>
        </patternFill>
      </fill>
    </dxf>
    <dxf>
      <border outline="0">
        <bottom style="medium">
          <color indexed="23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color auto="1"/>
        <name val="Trebuchet MS"/>
        <scheme val="minor"/>
      </font>
      <fill>
        <patternFill patternType="none">
          <fgColor indexed="64"/>
          <bgColor auto="1"/>
        </patternFill>
      </fill>
    </dxf>
    <dxf>
      <border outline="0">
        <bottom style="medium">
          <color indexed="23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border outline="0">
        <left style="thin">
          <color indexed="55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 outline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border outline="0">
        <right style="thin">
          <color indexed="55"/>
        </right>
      </border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color auto="1"/>
        <name val="Trebuchet MS"/>
        <scheme val="minor"/>
      </font>
      <fill>
        <patternFill patternType="none">
          <fgColor indexed="64"/>
          <bgColor auto="1"/>
        </patternFill>
      </fill>
    </dxf>
    <dxf>
      <border outline="0">
        <bottom style="medium">
          <color indexed="23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major"/>
      </font>
      <fill>
        <patternFill patternType="none">
          <fgColor indexed="64"/>
          <bgColor auto="1"/>
        </patternFill>
      </fill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color auto="1"/>
        <name val="Trebuchet MS"/>
        <scheme val="minor"/>
      </font>
      <fill>
        <patternFill patternType="none">
          <fgColor indexed="64"/>
          <bgColor auto="1"/>
        </patternFill>
      </fill>
    </dxf>
    <dxf>
      <border outline="0">
        <bottom style="medium">
          <color indexed="23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major"/>
      </font>
      <fill>
        <patternFill patternType="none">
          <fgColor indexed="64"/>
          <bgColor auto="1"/>
        </patternFill>
      </fill>
    </dxf>
    <dxf>
      <font>
        <b/>
        <i val="0"/>
        <color theme="6" tint="-0.24994659260841701"/>
      </font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  <border diagonalUp="0" diagonalDown="0">
        <left/>
        <right/>
        <top/>
        <bottom/>
        <vertical/>
        <horizontal/>
      </border>
    </dxf>
    <dxf>
      <font>
        <b/>
        <color theme="1"/>
      </font>
    </dxf>
    <dxf>
      <font>
        <b/>
        <color theme="1"/>
      </font>
      <fill>
        <patternFill>
          <bgColor theme="0" tint="-4.9989318521683403E-2"/>
        </patternFill>
      </fill>
      <border diagonalUp="0" diagonalDown="0">
        <left/>
        <right/>
        <top style="double">
          <color theme="6"/>
        </top>
        <bottom/>
        <vertical/>
        <horizontal/>
      </border>
    </dxf>
    <dxf>
      <font>
        <b/>
        <color theme="0"/>
      </font>
      <fill>
        <patternFill patternType="solid">
          <fgColor theme="6"/>
          <bgColor theme="6"/>
        </patternFill>
      </fill>
      <border>
        <bottom style="thin">
          <color theme="0" tint="-0.24994659260841701"/>
        </bottom>
      </border>
    </dxf>
    <dxf>
      <font>
        <color theme="1"/>
      </font>
      <border>
        <left/>
        <right/>
        <top/>
        <bottom/>
      </border>
    </dxf>
    <dxf>
      <fill>
        <patternFill>
          <bgColor theme="0" tint="-4.9989318521683403E-2"/>
        </patternFill>
      </fill>
      <border diagonalUp="0" diagonalDown="0">
        <left/>
        <right/>
        <top/>
        <bottom/>
        <vertical/>
        <horizontal/>
      </border>
    </dxf>
    <dxf>
      <font>
        <b/>
        <color theme="1"/>
      </font>
    </dxf>
    <dxf>
      <font>
        <b/>
        <color theme="1"/>
      </font>
      <fill>
        <patternFill>
          <bgColor theme="0" tint="-4.9989318521683403E-2"/>
        </patternFill>
      </fill>
      <border diagonalUp="0" diagonalDown="0">
        <left/>
        <right/>
        <top style="double">
          <color theme="4"/>
        </top>
        <bottom/>
        <vertical/>
        <horizontal/>
      </border>
    </dxf>
    <dxf>
      <font>
        <b/>
        <color theme="0"/>
      </font>
      <fill>
        <patternFill patternType="solid">
          <fgColor auto="1"/>
          <bgColor theme="4"/>
        </patternFill>
      </fill>
      <border>
        <bottom style="thin">
          <color theme="0" tint="-0.24994659260841701"/>
        </bottom>
      </border>
    </dxf>
    <dxf>
      <font>
        <color theme="1"/>
      </font>
      <border>
        <left/>
        <right/>
        <top/>
        <bottom/>
      </border>
    </dxf>
  </dxfs>
  <tableStyles count="2" defaultTableStyle="TableStyleMedium2" defaultPivotStyle="PivotStyleLight16">
    <tableStyle name="V42_ExpenseTable" pivot="0" count="5">
      <tableStyleElement type="wholeTable" dxfId="1819"/>
      <tableStyleElement type="headerRow" dxfId="1818"/>
      <tableStyleElement type="totalRow" dxfId="1817"/>
      <tableStyleElement type="firstColumn" dxfId="1816"/>
      <tableStyleElement type="lastColumn" dxfId="1815"/>
    </tableStyle>
    <tableStyle name="V42_IncomeTable" pivot="0" count="5">
      <tableStyleElement type="wholeTable" dxfId="1814"/>
      <tableStyleElement type="headerRow" dxfId="1813"/>
      <tableStyleElement type="totalRow" dxfId="1812"/>
      <tableStyleElement type="firstColumn" dxfId="1811"/>
      <tableStyleElement type="lastColumn" dxfId="181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4F4F4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Cash Flow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Graph!$B$26:$B$37</c:f>
              <c:strCache>
                <c:ptCount val="12"/>
                <c:pt idx="0">
                  <c:v>January</c:v>
                </c:pt>
                <c:pt idx="1">
                  <c:v>Febuary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Graph!$D$26:$D$37</c:f>
              <c:numCache>
                <c:formatCode>#,##0.00_);[Red]\(#,##0.00\)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CA-44A7-9AE3-D1CC2BAD8D4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29172224"/>
        <c:axId val="228117312"/>
      </c:barChart>
      <c:lineChart>
        <c:grouping val="standard"/>
        <c:varyColors val="0"/>
        <c:ser>
          <c:idx val="1"/>
          <c:order val="1"/>
          <c:spPr>
            <a:ln w="31750" cap="rnd">
              <a:solidFill>
                <a:schemeClr val="accent4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Graph!$B$26:$B$37</c:f>
              <c:strCache>
                <c:ptCount val="12"/>
                <c:pt idx="0">
                  <c:v>January</c:v>
                </c:pt>
                <c:pt idx="1">
                  <c:v>Febuary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Graph!$C$26:$C$37</c:f>
              <c:numCache>
                <c:formatCode>#,##0.00_);[Red]\(#,##0.00\)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CA-44A7-9AE3-D1CC2BAD8D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172224"/>
        <c:axId val="228117312"/>
      </c:lineChart>
      <c:valAx>
        <c:axId val="228117312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_);[Red]\(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172224"/>
        <c:crosses val="max"/>
        <c:crossBetween val="between"/>
      </c:valAx>
      <c:catAx>
        <c:axId val="229172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811731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17</xdr:col>
      <xdr:colOff>514350</xdr:colOff>
      <xdr:row>24</xdr:row>
      <xdr:rowOff>104775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2" name="Table2" displayName="Table2" ref="A4:D13" totalsRowCount="1" headerRowDxfId="1807" dataDxfId="1805" headerRowBorderDxfId="1806" tableBorderDxfId="1804">
  <tableColumns count="4">
    <tableColumn id="1" name="INCOME" totalsRowFunction="custom" totalsRowDxfId="159">
      <totalsRowFormula>"Total " &amp; Table2[[#Headers],[INCOME]]</totalsRowFormula>
    </tableColumn>
    <tableColumn id="2" name="Budget" totalsRowLabel="0.00" totalsRowDxfId="158" dataCellStyle="Comma"/>
    <tableColumn id="3" name="Actual" totalsRowFunction="sum" totalsRowDxfId="157" dataCellStyle="Comma"/>
    <tableColumn id="4" name="Difference" totalsRowFunction="sum" totalsRowDxfId="156" dataCellStyle="Comma">
      <calculatedColumnFormula>C5-B5</calculatedColumnFormula>
    </tableColumn>
  </tableColumns>
  <tableStyleInfo name="V42_IncomeTable" showFirstColumn="0" showLastColumn="1" showRowStripes="0" showColumnStripes="0"/>
</table>
</file>

<file path=xl/tables/table10.xml><?xml version="1.0" encoding="utf-8"?>
<table xmlns="http://schemas.openxmlformats.org/spreadsheetml/2006/main" id="20" name="Table20" displayName="Table20" ref="A31:D39" totalsRowCount="1" headerRowDxfId="1740" dataDxfId="1738" headerRowBorderDxfId="1739" tableBorderDxfId="1737">
  <tableColumns count="4">
    <tableColumn id="1" name="TRANSPORTATION" totalsRowFunction="custom" dataDxfId="1736" totalsRowDxfId="151">
      <totalsRowFormula>"Total " &amp; Table20[[#Headers],[TRANSPORTATION]]</totalsRowFormula>
    </tableColumn>
    <tableColumn id="2" name="Budget" totalsRowFunction="sum" dataDxfId="1735" totalsRowDxfId="150" dataCellStyle="Comma"/>
    <tableColumn id="3" name="Actual" totalsRowFunction="sum" dataDxfId="1734" totalsRowDxfId="149" dataCellStyle="Comma"/>
    <tableColumn id="4" name="Difference" totalsRowFunction="sum" dataDxfId="1733" totalsRowDxfId="148" dataCellStyle="Comma">
      <calculatedColumnFormula>B32-C32</calculatedColumnFormula>
    </tableColumn>
  </tableColumns>
  <tableStyleInfo name="V42_ExpenseTable" showFirstColumn="0" showLastColumn="1" showRowStripes="0" showColumnStripes="0"/>
</table>
</file>

<file path=xl/tables/table100.xml><?xml version="1.0" encoding="utf-8"?>
<table xmlns="http://schemas.openxmlformats.org/spreadsheetml/2006/main" id="210" name="Table2211" displayName="Table2211" ref="A4:D13" totalsRowCount="1" headerRowDxfId="806" dataDxfId="804" headerRowBorderDxfId="805" tableBorderDxfId="803">
  <tableColumns count="4">
    <tableColumn id="1" name="INCOME" totalsRowFunction="custom" totalsRowDxfId="802">
      <totalsRowFormula>"Total " &amp; Table2211[[#Headers],[INCOME]]</totalsRowFormula>
    </tableColumn>
    <tableColumn id="2" name="Budget" totalsRowFunction="sum" totalsRowDxfId="801" dataCellStyle="Comma"/>
    <tableColumn id="3" name="Actual" totalsRowFunction="sum" totalsRowDxfId="800" dataCellStyle="Comma"/>
    <tableColumn id="4" name="Difference" totalsRowFunction="sum" totalsRowDxfId="799" dataCellStyle="Comma">
      <calculatedColumnFormula>C5-B5</calculatedColumnFormula>
    </tableColumn>
  </tableColumns>
  <tableStyleInfo name="V42_IncomeTable" showFirstColumn="0" showLastColumn="1" showRowStripes="0" showColumnStripes="0"/>
</table>
</file>

<file path=xl/tables/table101.xml><?xml version="1.0" encoding="utf-8"?>
<table xmlns="http://schemas.openxmlformats.org/spreadsheetml/2006/main" id="211" name="Table5212" displayName="Table5212" ref="A15:D29" totalsRowCount="1" headerRowDxfId="798" dataDxfId="796" headerRowBorderDxfId="797" tableBorderDxfId="795">
  <tableColumns count="4">
    <tableColumn id="1" name="HOME EXPENSES" totalsRowFunction="custom" dataDxfId="794" totalsRowDxfId="793">
      <totalsRowFormula>"Total " &amp; Table5212[[#Headers],[HOME EXPENSES]]</totalsRowFormula>
    </tableColumn>
    <tableColumn id="2" name="Budget" totalsRowFunction="sum" dataDxfId="792" totalsRowDxfId="791" dataCellStyle="Comma"/>
    <tableColumn id="3" name="Actual" totalsRowFunction="sum" dataDxfId="790" totalsRowDxfId="789" dataCellStyle="Comma"/>
    <tableColumn id="4" name="Difference" totalsRowFunction="sum" dataDxfId="788" totalsRowDxfId="787" dataCellStyle="Comma">
      <calculatedColumnFormula>B16-C16</calculatedColumnFormula>
    </tableColumn>
  </tableColumns>
  <tableStyleInfo name="V42_ExpenseTable" showFirstColumn="0" showLastColumn="1" showRowStripes="0" showColumnStripes="0"/>
</table>
</file>

<file path=xl/tables/table102.xml><?xml version="1.0" encoding="utf-8"?>
<table xmlns="http://schemas.openxmlformats.org/spreadsheetml/2006/main" id="212" name="Table6213" displayName="Table6213" ref="F10:I20" totalsRowCount="1" headerRowDxfId="786" dataDxfId="784" headerRowBorderDxfId="785" tableBorderDxfId="783">
  <tableColumns count="4">
    <tableColumn id="1" name="DAILY LIVING" totalsRowFunction="custom" dataDxfId="782" totalsRowDxfId="781">
      <totalsRowFormula>"Total " &amp; Table6213[[#Headers],[DAILY LIVING]]</totalsRowFormula>
    </tableColumn>
    <tableColumn id="2" name="Budget" totalsRowFunction="sum" dataDxfId="780" totalsRowDxfId="779" dataCellStyle="Comma"/>
    <tableColumn id="3" name="Actual" totalsRowFunction="sum" dataDxfId="778" totalsRowDxfId="777" dataCellStyle="Comma"/>
    <tableColumn id="4" name="Difference" totalsRowFunction="sum" dataDxfId="776" totalsRowDxfId="775" dataCellStyle="Comma">
      <calculatedColumnFormula>G11-H11</calculatedColumnFormula>
    </tableColumn>
  </tableColumns>
  <tableStyleInfo name="V42_ExpenseTable" showFirstColumn="0" showLastColumn="1" showRowStripes="0" showColumnStripes="0"/>
</table>
</file>

<file path=xl/tables/table103.xml><?xml version="1.0" encoding="utf-8"?>
<table xmlns="http://schemas.openxmlformats.org/spreadsheetml/2006/main" id="213" name="Table7214" displayName="Table7214" ref="F22:I37" totalsRowCount="1" headerRowDxfId="774" dataDxfId="772" headerRowBorderDxfId="773" tableBorderDxfId="771">
  <tableColumns count="4">
    <tableColumn id="1" name="Entertainment" totalsRowFunction="custom" dataDxfId="770" totalsRowDxfId="769">
      <totalsRowFormula>"Total " &amp; Table7214[[#Headers],[Entertainment]]</totalsRowFormula>
    </tableColumn>
    <tableColumn id="2" name="Budget" totalsRowFunction="sum" dataDxfId="768" totalsRowDxfId="767" dataCellStyle="Comma"/>
    <tableColumn id="3" name="Actual" totalsRowFunction="sum" dataDxfId="766" totalsRowDxfId="765" dataCellStyle="Comma"/>
    <tableColumn id="4" name="Difference" totalsRowFunction="sum" dataDxfId="764" totalsRowDxfId="763" dataCellStyle="Comma">
      <calculatedColumnFormula>G23-H23</calculatedColumnFormula>
    </tableColumn>
  </tableColumns>
  <tableStyleInfo name="V42_ExpenseTable" showFirstColumn="0" showLastColumn="1" showRowStripes="0" showColumnStripes="0"/>
</table>
</file>

<file path=xl/tables/table104.xml><?xml version="1.0" encoding="utf-8"?>
<table xmlns="http://schemas.openxmlformats.org/spreadsheetml/2006/main" id="214" name="Table8215" displayName="Table8215" ref="F39:I46" totalsRowCount="1" headerRowDxfId="762" dataDxfId="760" headerRowBorderDxfId="761" tableBorderDxfId="759">
  <tableColumns count="4">
    <tableColumn id="1" name="SAVINGS" totalsRowFunction="custom" dataDxfId="758" totalsRowDxfId="757">
      <totalsRowFormula>"Total " &amp; Table8215[[#Headers],[SAVINGS]]</totalsRowFormula>
    </tableColumn>
    <tableColumn id="2" name="Budget" totalsRowFunction="sum" dataDxfId="756" totalsRowDxfId="755"/>
    <tableColumn id="3" name="Actual" totalsRowFunction="sum" dataDxfId="754" totalsRowDxfId="753"/>
    <tableColumn id="4" name="Difference" totalsRowFunction="sum" dataDxfId="752" totalsRowDxfId="751" dataCellStyle="Comma">
      <calculatedColumnFormula>G40-H40</calculatedColumnFormula>
    </tableColumn>
  </tableColumns>
  <tableStyleInfo name="V42_ExpenseTable" showFirstColumn="0" showLastColumn="1" showRowStripes="0" showColumnStripes="0"/>
</table>
</file>

<file path=xl/tables/table105.xml><?xml version="1.0" encoding="utf-8"?>
<table xmlns="http://schemas.openxmlformats.org/spreadsheetml/2006/main" id="215" name="Table10216" displayName="Table10216" ref="F48:I56" totalsRowCount="1" headerRowDxfId="750" dataDxfId="748" headerRowBorderDxfId="749">
  <tableColumns count="4">
    <tableColumn id="1" name="OBLIGATIONS" totalsRowFunction="custom" dataDxfId="747" totalsRowDxfId="746">
      <totalsRowFormula>"Total " &amp; Table10216[[#Headers],[OBLIGATIONS]]</totalsRowFormula>
    </tableColumn>
    <tableColumn id="2" name="Budget" totalsRowFunction="sum" dataDxfId="745" totalsRowDxfId="744" dataCellStyle="Comma"/>
    <tableColumn id="3" name="Actual" totalsRowFunction="sum" dataDxfId="743" totalsRowDxfId="742" dataCellStyle="Comma"/>
    <tableColumn id="4" name="Difference" totalsRowFunction="sum" dataDxfId="741" totalsRowDxfId="740" dataCellStyle="Comma">
      <calculatedColumnFormula>G49-H49</calculatedColumnFormula>
    </tableColumn>
  </tableColumns>
  <tableStyleInfo name="V42_ExpenseTable" showFirstColumn="0" showLastColumn="1" showRowStripes="0" showColumnStripes="0"/>
</table>
</file>

<file path=xl/tables/table106.xml><?xml version="1.0" encoding="utf-8"?>
<table xmlns="http://schemas.openxmlformats.org/spreadsheetml/2006/main" id="216" name="Table14217" displayName="Table14217" ref="F58:I63" totalsRowCount="1" headerRowDxfId="739" dataDxfId="737" headerRowBorderDxfId="738" tableBorderDxfId="736">
  <tableColumns count="4">
    <tableColumn id="1" name="MISCELLANEOUS" totalsRowFunction="custom" dataDxfId="735" totalsRowDxfId="734">
      <totalsRowFormula>"Total " &amp; Table14217[[#Headers],[MISCELLANEOUS]]</totalsRowFormula>
    </tableColumn>
    <tableColumn id="2" name="Budget" totalsRowFunction="sum" dataDxfId="733" totalsRowDxfId="732" dataCellStyle="Comma"/>
    <tableColumn id="3" name="Actual" totalsRowFunction="sum" dataDxfId="731" totalsRowDxfId="730" dataCellStyle="Comma"/>
    <tableColumn id="4" name="Difference" totalsRowFunction="sum" dataDxfId="729" totalsRowDxfId="728" dataCellStyle="Comma">
      <calculatedColumnFormula>G59-H59</calculatedColumnFormula>
    </tableColumn>
  </tableColumns>
  <tableStyleInfo name="V42_ExpenseTable" showFirstColumn="0" showLastColumn="1" showRowStripes="0" showColumnStripes="0"/>
</table>
</file>

<file path=xl/tables/table107.xml><?xml version="1.0" encoding="utf-8"?>
<table xmlns="http://schemas.openxmlformats.org/spreadsheetml/2006/main" id="217" name="Table15218" displayName="Table15218" ref="A58:D63" totalsRowCount="1" headerRowDxfId="727" dataDxfId="725" headerRowBorderDxfId="726" tableBorderDxfId="724">
  <tableColumns count="4">
    <tableColumn id="1" name="SUBSCRIPTIONS" totalsRowFunction="custom" dataDxfId="723" totalsRowDxfId="722">
      <totalsRowFormula>"Total " &amp; Table15218[[#Headers],[SUBSCRIPTIONS]]</totalsRowFormula>
    </tableColumn>
    <tableColumn id="2" name="Budget" totalsRowFunction="sum" dataDxfId="721" totalsRowDxfId="720" dataCellStyle="Comma"/>
    <tableColumn id="3" name="Actual" totalsRowFunction="sum" dataDxfId="719" totalsRowDxfId="718" dataCellStyle="Comma"/>
    <tableColumn id="4" name="Difference" totalsRowFunction="sum" dataDxfId="717" totalsRowDxfId="716" dataCellStyle="Comma">
      <calculatedColumnFormula>B59-C59</calculatedColumnFormula>
    </tableColumn>
  </tableColumns>
  <tableStyleInfo name="V42_ExpenseTable" showFirstColumn="0" showLastColumn="1" showRowStripes="0" showColumnStripes="0"/>
</table>
</file>

<file path=xl/tables/table108.xml><?xml version="1.0" encoding="utf-8"?>
<table xmlns="http://schemas.openxmlformats.org/spreadsheetml/2006/main" id="218" name="Table19219" displayName="Table19219" ref="A51:D56" totalsRowCount="1" headerRowDxfId="715" dataDxfId="713" headerRowBorderDxfId="714" tableBorderDxfId="712">
  <tableColumns count="4">
    <tableColumn id="1" name="CHARITY/GIFTS" totalsRowFunction="custom" dataDxfId="711" totalsRowDxfId="710">
      <totalsRowFormula>"Total " &amp; Table19219[[#Headers],[CHARITY/GIFTS]]</totalsRowFormula>
    </tableColumn>
    <tableColumn id="2" name="Budget" totalsRowFunction="sum" dataDxfId="709" totalsRowDxfId="708" dataCellStyle="Comma"/>
    <tableColumn id="3" name="Actual" totalsRowFunction="sum" dataDxfId="707" totalsRowDxfId="706" dataCellStyle="Comma"/>
    <tableColumn id="4" name="Difference" totalsRowFunction="sum" dataDxfId="705" totalsRowDxfId="704" dataCellStyle="Comma">
      <calculatedColumnFormula>B52-C52</calculatedColumnFormula>
    </tableColumn>
  </tableColumns>
  <tableStyleInfo name="V42_ExpenseTable" showFirstColumn="0" showLastColumn="1" showRowStripes="0" showColumnStripes="0"/>
</table>
</file>

<file path=xl/tables/table109.xml><?xml version="1.0" encoding="utf-8"?>
<table xmlns="http://schemas.openxmlformats.org/spreadsheetml/2006/main" id="219" name="Table20220" displayName="Table20220" ref="A31:D39" totalsRowCount="1" headerRowDxfId="703" dataDxfId="701" headerRowBorderDxfId="702" tableBorderDxfId="700">
  <tableColumns count="4">
    <tableColumn id="1" name="TRANSPORTATION" totalsRowFunction="custom" dataDxfId="699" totalsRowDxfId="698">
      <totalsRowFormula>"Total " &amp; Table20220[[#Headers],[TRANSPORTATION]]</totalsRowFormula>
    </tableColumn>
    <tableColumn id="2" name="Budget" totalsRowFunction="sum" dataDxfId="697" totalsRowDxfId="696" dataCellStyle="Comma"/>
    <tableColumn id="3" name="Actual" totalsRowFunction="sum" dataDxfId="695" totalsRowDxfId="694" dataCellStyle="Comma"/>
    <tableColumn id="4" name="Difference" totalsRowFunction="sum" dataDxfId="693" totalsRowDxfId="692" dataCellStyle="Comma">
      <calculatedColumnFormula>B32-C32</calculatedColumnFormula>
    </tableColumn>
  </tableColumns>
  <tableStyleInfo name="V42_ExpenseTable" showFirstColumn="0" showLastColumn="1" showRowStripes="0" showColumnStripes="0"/>
</table>
</file>

<file path=xl/tables/table11.xml><?xml version="1.0" encoding="utf-8"?>
<table xmlns="http://schemas.openxmlformats.org/spreadsheetml/2006/main" id="21" name="Table21" displayName="Table21" ref="A41:D49" totalsRowCount="1" headerRowDxfId="1732" dataDxfId="1730" headerRowBorderDxfId="1731" tableBorderDxfId="1729">
  <tableColumns count="4">
    <tableColumn id="1" name="HEALTH" totalsRowFunction="custom" dataDxfId="1728" totalsRowDxfId="135">
      <totalsRowFormula>"Total " &amp; Table21[[#Headers],[HEALTH]]</totalsRowFormula>
    </tableColumn>
    <tableColumn id="2" name="Budget" totalsRowFunction="sum" dataDxfId="1727" totalsRowDxfId="134" dataCellStyle="Comma"/>
    <tableColumn id="3" name="Actual" totalsRowFunction="sum" dataDxfId="1726" totalsRowDxfId="133" dataCellStyle="Comma"/>
    <tableColumn id="4" name="Difference" totalsRowFunction="sum" dataDxfId="1725" totalsRowDxfId="132" dataCellStyle="Comma">
      <calculatedColumnFormula>B42-C42</calculatedColumnFormula>
    </tableColumn>
  </tableColumns>
  <tableStyleInfo name="V42_ExpenseTable" showFirstColumn="0" showLastColumn="1" showRowStripes="0" showColumnStripes="0"/>
</table>
</file>

<file path=xl/tables/table110.xml><?xml version="1.0" encoding="utf-8"?>
<table xmlns="http://schemas.openxmlformats.org/spreadsheetml/2006/main" id="220" name="Table21221" displayName="Table21221" ref="A41:D49" totalsRowCount="1" headerRowDxfId="691" dataDxfId="689" headerRowBorderDxfId="690" tableBorderDxfId="688">
  <tableColumns count="4">
    <tableColumn id="1" name="HEALTH" totalsRowFunction="custom" dataDxfId="687" totalsRowDxfId="686">
      <totalsRowFormula>"Total " &amp; Table21221[[#Headers],[HEALTH]]</totalsRowFormula>
    </tableColumn>
    <tableColumn id="2" name="Budget" totalsRowFunction="sum" dataDxfId="685" totalsRowDxfId="684" dataCellStyle="Comma"/>
    <tableColumn id="3" name="Actual" totalsRowFunction="sum" dataDxfId="683" totalsRowDxfId="682" dataCellStyle="Comma"/>
    <tableColumn id="4" name="Difference" totalsRowFunction="sum" dataDxfId="681" totalsRowDxfId="680" dataCellStyle="Comma">
      <calculatedColumnFormula>B42-C42</calculatedColumnFormula>
    </tableColumn>
  </tableColumns>
  <tableStyleInfo name="V42_ExpenseTable" showFirstColumn="0" showLastColumn="1" showRowStripes="0" showColumnStripes="0"/>
</table>
</file>

<file path=xl/tables/table111.xml><?xml version="1.0" encoding="utf-8"?>
<table xmlns="http://schemas.openxmlformats.org/spreadsheetml/2006/main" id="221" name="Table2222" displayName="Table2222" ref="A4:D13" totalsRowCount="1" headerRowDxfId="677" dataDxfId="675" headerRowBorderDxfId="676" tableBorderDxfId="674">
  <tableColumns count="4">
    <tableColumn id="1" name="INCOME" totalsRowFunction="custom" totalsRowDxfId="673">
      <totalsRowFormula>"Total " &amp; Table2222[[#Headers],[INCOME]]</totalsRowFormula>
    </tableColumn>
    <tableColumn id="2" name="Budget" totalsRowFunction="sum" totalsRowDxfId="672" dataCellStyle="Comma"/>
    <tableColumn id="3" name="Actual" totalsRowFunction="sum" totalsRowDxfId="671" dataCellStyle="Comma"/>
    <tableColumn id="4" name="Difference" totalsRowFunction="sum" totalsRowDxfId="670" dataCellStyle="Comma">
      <calculatedColumnFormula>C5-B5</calculatedColumnFormula>
    </tableColumn>
  </tableColumns>
  <tableStyleInfo name="V42_IncomeTable" showFirstColumn="0" showLastColumn="1" showRowStripes="0" showColumnStripes="0"/>
</table>
</file>

<file path=xl/tables/table112.xml><?xml version="1.0" encoding="utf-8"?>
<table xmlns="http://schemas.openxmlformats.org/spreadsheetml/2006/main" id="222" name="Table5223" displayName="Table5223" ref="A15:D29" totalsRowCount="1" headerRowDxfId="669" dataDxfId="667" headerRowBorderDxfId="668" tableBorderDxfId="666">
  <tableColumns count="4">
    <tableColumn id="1" name="HOME EXPENSES" totalsRowFunction="custom" dataDxfId="665" totalsRowDxfId="664">
      <totalsRowFormula>"Total " &amp; Table5223[[#Headers],[HOME EXPENSES]]</totalsRowFormula>
    </tableColumn>
    <tableColumn id="2" name="Budget" totalsRowFunction="sum" dataDxfId="663" totalsRowDxfId="662" dataCellStyle="Comma"/>
    <tableColumn id="3" name="Actual" totalsRowFunction="sum" dataDxfId="661" totalsRowDxfId="660" dataCellStyle="Comma"/>
    <tableColumn id="4" name="Difference" totalsRowFunction="sum" dataDxfId="659" totalsRowDxfId="658" dataCellStyle="Comma">
      <calculatedColumnFormula>B16-C16</calculatedColumnFormula>
    </tableColumn>
  </tableColumns>
  <tableStyleInfo name="V42_ExpenseTable" showFirstColumn="0" showLastColumn="1" showRowStripes="0" showColumnStripes="0"/>
</table>
</file>

<file path=xl/tables/table113.xml><?xml version="1.0" encoding="utf-8"?>
<table xmlns="http://schemas.openxmlformats.org/spreadsheetml/2006/main" id="223" name="Table6224" displayName="Table6224" ref="F10:I20" totalsRowCount="1" headerRowDxfId="657" dataDxfId="655" headerRowBorderDxfId="656" tableBorderDxfId="654">
  <tableColumns count="4">
    <tableColumn id="1" name="DAILY LIVING" totalsRowFunction="custom" dataDxfId="653" totalsRowDxfId="652">
      <totalsRowFormula>"Total " &amp; Table6224[[#Headers],[DAILY LIVING]]</totalsRowFormula>
    </tableColumn>
    <tableColumn id="2" name="Budget" totalsRowFunction="sum" dataDxfId="651" totalsRowDxfId="650" dataCellStyle="Comma"/>
    <tableColumn id="3" name="Actual" totalsRowFunction="sum" dataDxfId="649" totalsRowDxfId="648" dataCellStyle="Comma"/>
    <tableColumn id="4" name="Difference" totalsRowFunction="sum" dataDxfId="647" totalsRowDxfId="646" dataCellStyle="Comma">
      <calculatedColumnFormula>G11-H11</calculatedColumnFormula>
    </tableColumn>
  </tableColumns>
  <tableStyleInfo name="V42_ExpenseTable" showFirstColumn="0" showLastColumn="1" showRowStripes="0" showColumnStripes="0"/>
</table>
</file>

<file path=xl/tables/table114.xml><?xml version="1.0" encoding="utf-8"?>
<table xmlns="http://schemas.openxmlformats.org/spreadsheetml/2006/main" id="224" name="Table7225" displayName="Table7225" ref="F22:I37" totalsRowCount="1" headerRowDxfId="645" dataDxfId="643" headerRowBorderDxfId="644" tableBorderDxfId="642">
  <tableColumns count="4">
    <tableColumn id="1" name="Entertainment" totalsRowFunction="custom" dataDxfId="641" totalsRowDxfId="640">
      <totalsRowFormula>"Total " &amp; Table7225[[#Headers],[Entertainment]]</totalsRowFormula>
    </tableColumn>
    <tableColumn id="2" name="Budget" totalsRowFunction="sum" dataDxfId="639" totalsRowDxfId="638" dataCellStyle="Comma"/>
    <tableColumn id="3" name="Actual" totalsRowFunction="sum" dataDxfId="637" totalsRowDxfId="636" dataCellStyle="Comma"/>
    <tableColumn id="4" name="Difference" totalsRowFunction="sum" dataDxfId="635" totalsRowDxfId="634" dataCellStyle="Comma">
      <calculatedColumnFormula>G23-H23</calculatedColumnFormula>
    </tableColumn>
  </tableColumns>
  <tableStyleInfo name="V42_ExpenseTable" showFirstColumn="0" showLastColumn="1" showRowStripes="0" showColumnStripes="0"/>
</table>
</file>

<file path=xl/tables/table115.xml><?xml version="1.0" encoding="utf-8"?>
<table xmlns="http://schemas.openxmlformats.org/spreadsheetml/2006/main" id="225" name="Table8226" displayName="Table8226" ref="F39:I46" totalsRowCount="1" headerRowDxfId="633" dataDxfId="631" headerRowBorderDxfId="632" tableBorderDxfId="630">
  <tableColumns count="4">
    <tableColumn id="1" name="SAVINGS" totalsRowFunction="custom" dataDxfId="629" totalsRowDxfId="628">
      <totalsRowFormula>"Total " &amp; Table8226[[#Headers],[SAVINGS]]</totalsRowFormula>
    </tableColumn>
    <tableColumn id="2" name="Budget" totalsRowFunction="sum" dataDxfId="627" totalsRowDxfId="626"/>
    <tableColumn id="3" name="Actual" totalsRowFunction="sum" dataDxfId="625" totalsRowDxfId="624"/>
    <tableColumn id="4" name="Difference" totalsRowFunction="sum" dataDxfId="623" totalsRowDxfId="622" dataCellStyle="Comma">
      <calculatedColumnFormula>G40-H40</calculatedColumnFormula>
    </tableColumn>
  </tableColumns>
  <tableStyleInfo name="V42_ExpenseTable" showFirstColumn="0" showLastColumn="1" showRowStripes="0" showColumnStripes="0"/>
</table>
</file>

<file path=xl/tables/table116.xml><?xml version="1.0" encoding="utf-8"?>
<table xmlns="http://schemas.openxmlformats.org/spreadsheetml/2006/main" id="226" name="Table10227" displayName="Table10227" ref="F48:I56" totalsRowCount="1" headerRowDxfId="621" dataDxfId="619" headerRowBorderDxfId="620">
  <tableColumns count="4">
    <tableColumn id="1" name="OBLIGATIONS" totalsRowFunction="custom" dataDxfId="618" totalsRowDxfId="617">
      <totalsRowFormula>"Total " &amp; Table10227[[#Headers],[OBLIGATIONS]]</totalsRowFormula>
    </tableColumn>
    <tableColumn id="2" name="Budget" totalsRowFunction="sum" dataDxfId="616" totalsRowDxfId="615" dataCellStyle="Comma"/>
    <tableColumn id="3" name="Actual" totalsRowFunction="sum" dataDxfId="614" totalsRowDxfId="613" dataCellStyle="Comma"/>
    <tableColumn id="4" name="Difference" totalsRowFunction="sum" dataDxfId="612" totalsRowDxfId="611" dataCellStyle="Comma">
      <calculatedColumnFormula>G49-H49</calculatedColumnFormula>
    </tableColumn>
  </tableColumns>
  <tableStyleInfo name="V42_ExpenseTable" showFirstColumn="0" showLastColumn="1" showRowStripes="0" showColumnStripes="0"/>
</table>
</file>

<file path=xl/tables/table117.xml><?xml version="1.0" encoding="utf-8"?>
<table xmlns="http://schemas.openxmlformats.org/spreadsheetml/2006/main" id="227" name="Table14228" displayName="Table14228" ref="F58:I63" totalsRowCount="1" headerRowDxfId="610" dataDxfId="608" headerRowBorderDxfId="609" tableBorderDxfId="607">
  <tableColumns count="4">
    <tableColumn id="1" name="MISCELLANEOUS" totalsRowFunction="custom" dataDxfId="606" totalsRowDxfId="605">
      <totalsRowFormula>"Total " &amp; Table14228[[#Headers],[MISCELLANEOUS]]</totalsRowFormula>
    </tableColumn>
    <tableColumn id="2" name="Budget" totalsRowFunction="sum" dataDxfId="604" totalsRowDxfId="603" dataCellStyle="Comma"/>
    <tableColumn id="3" name="Actual" totalsRowFunction="sum" dataDxfId="602" totalsRowDxfId="601" dataCellStyle="Comma"/>
    <tableColumn id="4" name="Difference" totalsRowFunction="sum" dataDxfId="600" totalsRowDxfId="599" dataCellStyle="Comma">
      <calculatedColumnFormula>G59-H59</calculatedColumnFormula>
    </tableColumn>
  </tableColumns>
  <tableStyleInfo name="V42_ExpenseTable" showFirstColumn="0" showLastColumn="1" showRowStripes="0" showColumnStripes="0"/>
</table>
</file>

<file path=xl/tables/table118.xml><?xml version="1.0" encoding="utf-8"?>
<table xmlns="http://schemas.openxmlformats.org/spreadsheetml/2006/main" id="228" name="Table15229" displayName="Table15229" ref="A58:D63" totalsRowCount="1" headerRowDxfId="598" dataDxfId="596" headerRowBorderDxfId="597" tableBorderDxfId="595">
  <tableColumns count="4">
    <tableColumn id="1" name="SUBSCRIPTIONS" totalsRowFunction="custom" dataDxfId="594" totalsRowDxfId="593">
      <totalsRowFormula>"Total " &amp; Table15229[[#Headers],[SUBSCRIPTIONS]]</totalsRowFormula>
    </tableColumn>
    <tableColumn id="2" name="Budget" totalsRowFunction="sum" dataDxfId="592" totalsRowDxfId="591" dataCellStyle="Comma"/>
    <tableColumn id="3" name="Actual" totalsRowFunction="sum" dataDxfId="590" totalsRowDxfId="589" dataCellStyle="Comma"/>
    <tableColumn id="4" name="Difference" totalsRowFunction="sum" dataDxfId="588" totalsRowDxfId="587" dataCellStyle="Comma">
      <calculatedColumnFormula>B59-C59</calculatedColumnFormula>
    </tableColumn>
  </tableColumns>
  <tableStyleInfo name="V42_ExpenseTable" showFirstColumn="0" showLastColumn="1" showRowStripes="0" showColumnStripes="0"/>
</table>
</file>

<file path=xl/tables/table119.xml><?xml version="1.0" encoding="utf-8"?>
<table xmlns="http://schemas.openxmlformats.org/spreadsheetml/2006/main" id="229" name="Table19230" displayName="Table19230" ref="A51:D56" totalsRowCount="1" headerRowDxfId="586" dataDxfId="584" headerRowBorderDxfId="585" tableBorderDxfId="583">
  <tableColumns count="4">
    <tableColumn id="1" name="CHARITY/GIFTS" totalsRowFunction="custom" dataDxfId="582" totalsRowDxfId="581">
      <totalsRowFormula>"Total " &amp; Table19230[[#Headers],[CHARITY/GIFTS]]</totalsRowFormula>
    </tableColumn>
    <tableColumn id="2" name="Budget" totalsRowFunction="sum" dataDxfId="580" totalsRowDxfId="579" dataCellStyle="Comma"/>
    <tableColumn id="3" name="Actual" totalsRowFunction="sum" dataDxfId="578" totalsRowDxfId="577" dataCellStyle="Comma"/>
    <tableColumn id="4" name="Difference" totalsRowFunction="sum" dataDxfId="576" totalsRowDxfId="575" dataCellStyle="Comma">
      <calculatedColumnFormula>B52-C52</calculatedColumnFormula>
    </tableColumn>
  </tableColumns>
  <tableStyleInfo name="V42_ExpenseTable" showFirstColumn="0" showLastColumn="1" showRowStripes="0" showColumnStripes="0"/>
</table>
</file>

<file path=xl/tables/table12.xml><?xml version="1.0" encoding="utf-8"?>
<table xmlns="http://schemas.openxmlformats.org/spreadsheetml/2006/main" id="133" name="Table2135" displayName="Table2135" ref="A4:D13" totalsRowCount="1" headerRowDxfId="1722" dataDxfId="1720" headerRowBorderDxfId="1721" tableBorderDxfId="1719">
  <tableColumns count="4">
    <tableColumn id="1" name="INCOME" totalsRowFunction="custom" totalsRowDxfId="115">
      <totalsRowFormula>"Total " &amp; Table2135[[#Headers],[INCOME]]</totalsRowFormula>
    </tableColumn>
    <tableColumn id="2" name="Budget" totalsRowFunction="sum" totalsRowDxfId="114" dataCellStyle="Comma"/>
    <tableColumn id="3" name="Actual" totalsRowFunction="sum" totalsRowDxfId="113" dataCellStyle="Comma"/>
    <tableColumn id="4" name="Difference" totalsRowFunction="sum" totalsRowDxfId="112" dataCellStyle="Comma">
      <calculatedColumnFormula>C5-B5</calculatedColumnFormula>
    </tableColumn>
  </tableColumns>
  <tableStyleInfo name="V42_IncomeTable" showFirstColumn="0" showLastColumn="1" showRowStripes="0" showColumnStripes="0"/>
</table>
</file>

<file path=xl/tables/table120.xml><?xml version="1.0" encoding="utf-8"?>
<table xmlns="http://schemas.openxmlformats.org/spreadsheetml/2006/main" id="230" name="Table20231" displayName="Table20231" ref="A31:D39" totalsRowCount="1" headerRowDxfId="574" dataDxfId="572" headerRowBorderDxfId="573" tableBorderDxfId="571">
  <tableColumns count="4">
    <tableColumn id="1" name="TRANSPORTATION" totalsRowFunction="custom" dataDxfId="570" totalsRowDxfId="569">
      <totalsRowFormula>"Total " &amp; Table20231[[#Headers],[TRANSPORTATION]]</totalsRowFormula>
    </tableColumn>
    <tableColumn id="2" name="Budget" totalsRowFunction="sum" dataDxfId="568" totalsRowDxfId="567" dataCellStyle="Comma"/>
    <tableColumn id="3" name="Actual" totalsRowFunction="sum" dataDxfId="566" totalsRowDxfId="565" dataCellStyle="Comma"/>
    <tableColumn id="4" name="Difference" totalsRowFunction="sum" dataDxfId="564" totalsRowDxfId="563" dataCellStyle="Comma">
      <calculatedColumnFormula>B32-C32</calculatedColumnFormula>
    </tableColumn>
  </tableColumns>
  <tableStyleInfo name="V42_ExpenseTable" showFirstColumn="0" showLastColumn="1" showRowStripes="0" showColumnStripes="0"/>
</table>
</file>

<file path=xl/tables/table121.xml><?xml version="1.0" encoding="utf-8"?>
<table xmlns="http://schemas.openxmlformats.org/spreadsheetml/2006/main" id="231" name="Table21232" displayName="Table21232" ref="A41:D49" totalsRowCount="1" headerRowDxfId="562" dataDxfId="560" headerRowBorderDxfId="561" tableBorderDxfId="559">
  <tableColumns count="4">
    <tableColumn id="1" name="HEALTH" totalsRowFunction="custom" dataDxfId="558" totalsRowDxfId="557">
      <totalsRowFormula>"Total " &amp; Table21232[[#Headers],[HEALTH]]</totalsRowFormula>
    </tableColumn>
    <tableColumn id="2" name="Budget" totalsRowFunction="sum" dataDxfId="556" totalsRowDxfId="555" dataCellStyle="Comma"/>
    <tableColumn id="3" name="Actual" totalsRowFunction="sum" dataDxfId="554" totalsRowDxfId="553" dataCellStyle="Comma"/>
    <tableColumn id="4" name="Difference" totalsRowFunction="sum" dataDxfId="552" totalsRowDxfId="551" dataCellStyle="Comma">
      <calculatedColumnFormula>B42-C42</calculatedColumnFormula>
    </tableColumn>
  </tableColumns>
  <tableStyleInfo name="V42_ExpenseTable" showFirstColumn="0" showLastColumn="1" showRowStripes="0" showColumnStripes="0"/>
</table>
</file>

<file path=xl/tables/table122.xml><?xml version="1.0" encoding="utf-8"?>
<table xmlns="http://schemas.openxmlformats.org/spreadsheetml/2006/main" id="232" name="Table2233" displayName="Table2233" ref="A4:D13" totalsRowCount="1" headerRowDxfId="548" dataDxfId="546" headerRowBorderDxfId="547" tableBorderDxfId="545">
  <tableColumns count="4">
    <tableColumn id="1" name="INCOME" totalsRowFunction="custom" totalsRowDxfId="544">
      <totalsRowFormula>"Total " &amp; Table2233[[#Headers],[INCOME]]</totalsRowFormula>
    </tableColumn>
    <tableColumn id="2" name="Budget" totalsRowFunction="sum" totalsRowDxfId="543" dataCellStyle="Comma"/>
    <tableColumn id="3" name="Actual" totalsRowFunction="sum" totalsRowDxfId="542" dataCellStyle="Comma"/>
    <tableColumn id="4" name="Difference" totalsRowFunction="sum" totalsRowDxfId="541" dataCellStyle="Comma">
      <calculatedColumnFormula>C5-B5</calculatedColumnFormula>
    </tableColumn>
  </tableColumns>
  <tableStyleInfo name="V42_IncomeTable" showFirstColumn="0" showLastColumn="1" showRowStripes="0" showColumnStripes="0"/>
</table>
</file>

<file path=xl/tables/table123.xml><?xml version="1.0" encoding="utf-8"?>
<table xmlns="http://schemas.openxmlformats.org/spreadsheetml/2006/main" id="233" name="Table5234" displayName="Table5234" ref="A15:D29" totalsRowCount="1" headerRowDxfId="540" dataDxfId="538" headerRowBorderDxfId="539" tableBorderDxfId="537">
  <tableColumns count="4">
    <tableColumn id="1" name="HOME EXPENSES" totalsRowFunction="custom" dataDxfId="536" totalsRowDxfId="535">
      <totalsRowFormula>"Total " &amp; Table5234[[#Headers],[HOME EXPENSES]]</totalsRowFormula>
    </tableColumn>
    <tableColumn id="2" name="Budget" totalsRowFunction="sum" dataDxfId="534" totalsRowDxfId="533" dataCellStyle="Comma"/>
    <tableColumn id="3" name="Actual" totalsRowFunction="sum" dataDxfId="532" totalsRowDxfId="531" dataCellStyle="Comma"/>
    <tableColumn id="4" name="Difference" totalsRowFunction="sum" dataDxfId="530" totalsRowDxfId="529" dataCellStyle="Comma">
      <calculatedColumnFormula>B16-C16</calculatedColumnFormula>
    </tableColumn>
  </tableColumns>
  <tableStyleInfo name="V42_ExpenseTable" showFirstColumn="0" showLastColumn="1" showRowStripes="0" showColumnStripes="0"/>
</table>
</file>

<file path=xl/tables/table124.xml><?xml version="1.0" encoding="utf-8"?>
<table xmlns="http://schemas.openxmlformats.org/spreadsheetml/2006/main" id="234" name="Table6235" displayName="Table6235" ref="F10:I20" totalsRowCount="1" headerRowDxfId="528" dataDxfId="526" headerRowBorderDxfId="527" tableBorderDxfId="525">
  <tableColumns count="4">
    <tableColumn id="1" name="DAILY LIVING" totalsRowFunction="custom" dataDxfId="524" totalsRowDxfId="523">
      <totalsRowFormula>"Total " &amp; Table6235[[#Headers],[DAILY LIVING]]</totalsRowFormula>
    </tableColumn>
    <tableColumn id="2" name="Budget" totalsRowFunction="sum" dataDxfId="522" totalsRowDxfId="521" dataCellStyle="Comma"/>
    <tableColumn id="3" name="Actual" totalsRowFunction="sum" dataDxfId="520" totalsRowDxfId="519" dataCellStyle="Comma"/>
    <tableColumn id="4" name="Difference" totalsRowFunction="sum" dataDxfId="518" totalsRowDxfId="517" dataCellStyle="Comma">
      <calculatedColumnFormula>G11-H11</calculatedColumnFormula>
    </tableColumn>
  </tableColumns>
  <tableStyleInfo name="V42_ExpenseTable" showFirstColumn="0" showLastColumn="1" showRowStripes="0" showColumnStripes="0"/>
</table>
</file>

<file path=xl/tables/table125.xml><?xml version="1.0" encoding="utf-8"?>
<table xmlns="http://schemas.openxmlformats.org/spreadsheetml/2006/main" id="235" name="Table7236" displayName="Table7236" ref="F22:I37" totalsRowCount="1" headerRowDxfId="516" dataDxfId="514" headerRowBorderDxfId="515" tableBorderDxfId="513">
  <tableColumns count="4">
    <tableColumn id="1" name="Entertainment" totalsRowFunction="custom" dataDxfId="512" totalsRowDxfId="511">
      <totalsRowFormula>"Total " &amp; Table7236[[#Headers],[Entertainment]]</totalsRowFormula>
    </tableColumn>
    <tableColumn id="2" name="Budget" totalsRowFunction="sum" dataDxfId="510" totalsRowDxfId="509" dataCellStyle="Comma"/>
    <tableColumn id="3" name="Actual" totalsRowFunction="sum" dataDxfId="508" totalsRowDxfId="507" dataCellStyle="Comma"/>
    <tableColumn id="4" name="Difference" totalsRowFunction="sum" dataDxfId="506" totalsRowDxfId="505" dataCellStyle="Comma">
      <calculatedColumnFormula>G23-H23</calculatedColumnFormula>
    </tableColumn>
  </tableColumns>
  <tableStyleInfo name="V42_ExpenseTable" showFirstColumn="0" showLastColumn="1" showRowStripes="0" showColumnStripes="0"/>
</table>
</file>

<file path=xl/tables/table126.xml><?xml version="1.0" encoding="utf-8"?>
<table xmlns="http://schemas.openxmlformats.org/spreadsheetml/2006/main" id="236" name="Table8237" displayName="Table8237" ref="F39:I46" totalsRowCount="1" headerRowDxfId="504" dataDxfId="502" headerRowBorderDxfId="503" tableBorderDxfId="501">
  <tableColumns count="4">
    <tableColumn id="1" name="SAVINGS" totalsRowFunction="custom" dataDxfId="500" totalsRowDxfId="499">
      <totalsRowFormula>"Total " &amp; Table8237[[#Headers],[SAVINGS]]</totalsRowFormula>
    </tableColumn>
    <tableColumn id="2" name="Budget" totalsRowFunction="sum" dataDxfId="498" totalsRowDxfId="497"/>
    <tableColumn id="3" name="Actual" totalsRowFunction="sum" dataDxfId="496" totalsRowDxfId="495"/>
    <tableColumn id="4" name="Difference" totalsRowFunction="sum" dataDxfId="494" totalsRowDxfId="493" dataCellStyle="Comma">
      <calculatedColumnFormula>G40-H40</calculatedColumnFormula>
    </tableColumn>
  </tableColumns>
  <tableStyleInfo name="V42_ExpenseTable" showFirstColumn="0" showLastColumn="1" showRowStripes="0" showColumnStripes="0"/>
</table>
</file>

<file path=xl/tables/table127.xml><?xml version="1.0" encoding="utf-8"?>
<table xmlns="http://schemas.openxmlformats.org/spreadsheetml/2006/main" id="237" name="Table10238" displayName="Table10238" ref="F48:I56" totalsRowCount="1" headerRowDxfId="492" dataDxfId="490" headerRowBorderDxfId="491">
  <tableColumns count="4">
    <tableColumn id="1" name="OBLIGATIONS" totalsRowFunction="custom" dataDxfId="489" totalsRowDxfId="488">
      <totalsRowFormula>"Total " &amp; Table10238[[#Headers],[OBLIGATIONS]]</totalsRowFormula>
    </tableColumn>
    <tableColumn id="2" name="Budget" totalsRowFunction="sum" dataDxfId="487" totalsRowDxfId="486" dataCellStyle="Comma"/>
    <tableColumn id="3" name="Actual" totalsRowFunction="sum" dataDxfId="485" totalsRowDxfId="484" dataCellStyle="Comma"/>
    <tableColumn id="4" name="Difference" totalsRowFunction="sum" dataDxfId="483" totalsRowDxfId="482" dataCellStyle="Comma">
      <calculatedColumnFormula>G49-H49</calculatedColumnFormula>
    </tableColumn>
  </tableColumns>
  <tableStyleInfo name="V42_ExpenseTable" showFirstColumn="0" showLastColumn="1" showRowStripes="0" showColumnStripes="0"/>
</table>
</file>

<file path=xl/tables/table128.xml><?xml version="1.0" encoding="utf-8"?>
<table xmlns="http://schemas.openxmlformats.org/spreadsheetml/2006/main" id="238" name="Table14239" displayName="Table14239" ref="F58:I63" totalsRowCount="1" headerRowDxfId="481" dataDxfId="479" headerRowBorderDxfId="480" tableBorderDxfId="478">
  <tableColumns count="4">
    <tableColumn id="1" name="MISCELLANEOUS" totalsRowFunction="custom" dataDxfId="477" totalsRowDxfId="476">
      <totalsRowFormula>"Total " &amp; Table14239[[#Headers],[MISCELLANEOUS]]</totalsRowFormula>
    </tableColumn>
    <tableColumn id="2" name="Budget" totalsRowFunction="sum" dataDxfId="475" totalsRowDxfId="474" dataCellStyle="Comma"/>
    <tableColumn id="3" name="Actual" totalsRowFunction="sum" dataDxfId="473" totalsRowDxfId="472" dataCellStyle="Comma"/>
    <tableColumn id="4" name="Difference" totalsRowFunction="sum" dataDxfId="471" totalsRowDxfId="470" dataCellStyle="Comma">
      <calculatedColumnFormula>G59-H59</calculatedColumnFormula>
    </tableColumn>
  </tableColumns>
  <tableStyleInfo name="V42_ExpenseTable" showFirstColumn="0" showLastColumn="1" showRowStripes="0" showColumnStripes="0"/>
</table>
</file>

<file path=xl/tables/table129.xml><?xml version="1.0" encoding="utf-8"?>
<table xmlns="http://schemas.openxmlformats.org/spreadsheetml/2006/main" id="239" name="Table15240" displayName="Table15240" ref="A58:D63" totalsRowCount="1" headerRowDxfId="469" dataDxfId="467" headerRowBorderDxfId="468" tableBorderDxfId="466">
  <tableColumns count="4">
    <tableColumn id="1" name="SUBSCRIPTIONS" totalsRowFunction="custom" dataDxfId="465" totalsRowDxfId="464">
      <totalsRowFormula>"Total " &amp; Table15240[[#Headers],[SUBSCRIPTIONS]]</totalsRowFormula>
    </tableColumn>
    <tableColumn id="2" name="Budget" totalsRowFunction="sum" dataDxfId="463" totalsRowDxfId="462" dataCellStyle="Comma"/>
    <tableColumn id="3" name="Actual" totalsRowFunction="sum" dataDxfId="461" totalsRowDxfId="460" dataCellStyle="Comma"/>
    <tableColumn id="4" name="Difference" totalsRowFunction="sum" dataDxfId="459" totalsRowDxfId="458" dataCellStyle="Comma">
      <calculatedColumnFormula>B59-C59</calculatedColumnFormula>
    </tableColumn>
  </tableColumns>
  <tableStyleInfo name="V42_ExpenseTable" showFirstColumn="0" showLastColumn="1" showRowStripes="0" showColumnStripes="0"/>
</table>
</file>

<file path=xl/tables/table13.xml><?xml version="1.0" encoding="utf-8"?>
<table xmlns="http://schemas.openxmlformats.org/spreadsheetml/2006/main" id="134" name="Table5135" displayName="Table5135" ref="A15:D29" totalsRowCount="1" headerRowDxfId="1718" dataDxfId="1716" headerRowBorderDxfId="1717" tableBorderDxfId="1715">
  <tableColumns count="4">
    <tableColumn id="1" name="HOME EXPENSES" totalsRowFunction="custom" dataDxfId="1714" totalsRowDxfId="107">
      <totalsRowFormula>"Total " &amp; Table5135[[#Headers],[HOME EXPENSES]]</totalsRowFormula>
    </tableColumn>
    <tableColumn id="2" name="Budget" totalsRowFunction="sum" dataDxfId="1713" totalsRowDxfId="106" dataCellStyle="Comma"/>
    <tableColumn id="3" name="Actual" totalsRowFunction="sum" dataDxfId="1712" totalsRowDxfId="105" dataCellStyle="Comma"/>
    <tableColumn id="4" name="Difference" totalsRowFunction="sum" dataDxfId="1711" totalsRowDxfId="104" dataCellStyle="Comma">
      <calculatedColumnFormula>B16-C16</calculatedColumnFormula>
    </tableColumn>
  </tableColumns>
  <tableStyleInfo name="V42_ExpenseTable" showFirstColumn="0" showLastColumn="1" showRowStripes="0" showColumnStripes="0"/>
</table>
</file>

<file path=xl/tables/table130.xml><?xml version="1.0" encoding="utf-8"?>
<table xmlns="http://schemas.openxmlformats.org/spreadsheetml/2006/main" id="240" name="Table19241" displayName="Table19241" ref="A51:D56" totalsRowCount="1" headerRowDxfId="457" dataDxfId="455" headerRowBorderDxfId="456" tableBorderDxfId="454">
  <tableColumns count="4">
    <tableColumn id="1" name="CHARITY/GIFTS" totalsRowFunction="custom" dataDxfId="453" totalsRowDxfId="452">
      <totalsRowFormula>"Total " &amp; Table19241[[#Headers],[CHARITY/GIFTS]]</totalsRowFormula>
    </tableColumn>
    <tableColumn id="2" name="Budget" totalsRowFunction="sum" dataDxfId="451" totalsRowDxfId="450" dataCellStyle="Comma"/>
    <tableColumn id="3" name="Actual" totalsRowFunction="sum" dataDxfId="449" totalsRowDxfId="448" dataCellStyle="Comma"/>
    <tableColumn id="4" name="Difference" totalsRowFunction="sum" dataDxfId="447" totalsRowDxfId="446" dataCellStyle="Comma">
      <calculatedColumnFormula>B52-C52</calculatedColumnFormula>
    </tableColumn>
  </tableColumns>
  <tableStyleInfo name="V42_ExpenseTable" showFirstColumn="0" showLastColumn="1" showRowStripes="0" showColumnStripes="0"/>
</table>
</file>

<file path=xl/tables/table131.xml><?xml version="1.0" encoding="utf-8"?>
<table xmlns="http://schemas.openxmlformats.org/spreadsheetml/2006/main" id="241" name="Table20242" displayName="Table20242" ref="A31:D39" totalsRowCount="1" headerRowDxfId="445" dataDxfId="443" headerRowBorderDxfId="444" tableBorderDxfId="442">
  <tableColumns count="4">
    <tableColumn id="1" name="TRANSPORTATION" totalsRowFunction="custom" dataDxfId="441" totalsRowDxfId="440">
      <totalsRowFormula>"Total " &amp; Table20242[[#Headers],[TRANSPORTATION]]</totalsRowFormula>
    </tableColumn>
    <tableColumn id="2" name="Budget" totalsRowFunction="sum" dataDxfId="439" totalsRowDxfId="438" dataCellStyle="Comma"/>
    <tableColumn id="3" name="Actual" totalsRowFunction="sum" dataDxfId="437" totalsRowDxfId="436" dataCellStyle="Comma"/>
    <tableColumn id="4" name="Difference" totalsRowFunction="sum" dataDxfId="435" totalsRowDxfId="434" dataCellStyle="Comma">
      <calculatedColumnFormula>B32-C32</calculatedColumnFormula>
    </tableColumn>
  </tableColumns>
  <tableStyleInfo name="V42_ExpenseTable" showFirstColumn="0" showLastColumn="1" showRowStripes="0" showColumnStripes="0"/>
</table>
</file>

<file path=xl/tables/table132.xml><?xml version="1.0" encoding="utf-8"?>
<table xmlns="http://schemas.openxmlformats.org/spreadsheetml/2006/main" id="242" name="Table21243" displayName="Table21243" ref="A41:D49" totalsRowCount="1" headerRowDxfId="433" dataDxfId="431" headerRowBorderDxfId="432" tableBorderDxfId="430">
  <tableColumns count="4">
    <tableColumn id="1" name="HEALTH" totalsRowFunction="custom" dataDxfId="429" totalsRowDxfId="428">
      <totalsRowFormula>"Total " &amp; Table21243[[#Headers],[HEALTH]]</totalsRowFormula>
    </tableColumn>
    <tableColumn id="2" name="Budget" totalsRowFunction="sum" dataDxfId="427" totalsRowDxfId="426" dataCellStyle="Comma"/>
    <tableColumn id="3" name="Actual" totalsRowFunction="sum" dataDxfId="425" totalsRowDxfId="424" dataCellStyle="Comma"/>
    <tableColumn id="4" name="Difference" totalsRowFunction="sum" dataDxfId="423" totalsRowDxfId="422" dataCellStyle="Comma">
      <calculatedColumnFormula>B42-C42</calculatedColumnFormula>
    </tableColumn>
  </tableColumns>
  <tableStyleInfo name="V42_ExpenseTable" showFirstColumn="0" showLastColumn="1" showRowStripes="0" showColumnStripes="0"/>
</table>
</file>

<file path=xl/tables/table133.xml><?xml version="1.0" encoding="utf-8"?>
<table xmlns="http://schemas.openxmlformats.org/spreadsheetml/2006/main" id="1" name="Table22442" displayName="Table22442" ref="A4:D13" totalsRowCount="1" headerRowDxfId="419" dataDxfId="417" headerRowBorderDxfId="418" tableBorderDxfId="416">
  <tableColumns count="4">
    <tableColumn id="1" name="INCOME" totalsRowFunction="custom" totalsRowDxfId="191">
      <totalsRowFormula>"Total " &amp; Table22442[[#Headers],[INCOME]]</totalsRowFormula>
    </tableColumn>
    <tableColumn id="2" name="Column1" dataDxfId="415" totalsRowDxfId="190" dataCellStyle="Comma"/>
    <tableColumn id="3" name="Average" totalsRowFunction="sum" dataDxfId="414" totalsRowDxfId="189" dataCellStyle="Comma">
      <calculatedColumnFormula>IFERROR(AVERAGE(Table2[[#This Row],[Actual]],Table2135[[#This Row],[Actual]],Table2146[[#This Row],[Actual]],Table2157[[#This Row],[Actual]],Table2255[[#This Row],[Actual]],Table257[[#This Row],[Actual]],Table2179[[#This Row],[Actual]],Table2190[[#This Row],[Actual]],Table2200[[#This Row],[Actual]],Table2211[[#This Row],[Actual]],Table2222[[#This Row],[Actual]],Table2233[[#This Row],[Actual]]),"0")</calculatedColumnFormula>
    </tableColumn>
    <tableColumn id="4" name="Difference" totalsRowFunction="sum" dataDxfId="413" totalsRowDxfId="188" dataCellStyle="Comma">
      <calculatedColumnFormula>C5-B5</calculatedColumnFormula>
    </tableColumn>
  </tableColumns>
  <tableStyleInfo name="V42_IncomeTable" showFirstColumn="0" showLastColumn="1" showRowStripes="0" showColumnStripes="0"/>
</table>
</file>

<file path=xl/tables/table134.xml><?xml version="1.0" encoding="utf-8"?>
<table xmlns="http://schemas.openxmlformats.org/spreadsheetml/2006/main" id="3" name="Table52454" displayName="Table52454" ref="A15:D29" totalsRowCount="1" headerRowDxfId="412" dataDxfId="410" headerRowBorderDxfId="411" tableBorderDxfId="409">
  <tableColumns count="4">
    <tableColumn id="1" name="HOME EXPENSES" totalsRowFunction="custom" dataDxfId="408" totalsRowDxfId="183">
      <totalsRowFormula>"Total " &amp; Table52454[[#Headers],[HOME EXPENSES]]</totalsRowFormula>
    </tableColumn>
    <tableColumn id="2" name="Column1" dataDxfId="407" totalsRowDxfId="182" dataCellStyle="Comma"/>
    <tableColumn id="3" name="Average" totalsRowFunction="sum" dataDxfId="406" totalsRowDxfId="181" dataCellStyle="Comma">
      <calculatedColumnFormula>IFERROR(AVERAGE(Table5[[#This Row],[Actual]],Table5135[[#This Row],[Actual]],Table5146[[#This Row],[Actual]],Table5157[[#This Row],[Actual]],Table5256[[#This Row],[Actual]],Table558[[#This Row],[Actual]],Table5179[[#This Row],[Actual]],Table5190[[#This Row],[Actual]],Table5201[[#This Row],[Actual]],Table5212[[#This Row],[Actual]],Table5223[[#This Row],[Actual]],Table5234[[#This Row],[Actual]]),"0")</calculatedColumnFormula>
    </tableColumn>
    <tableColumn id="4" name="Difference" totalsRowFunction="sum" dataDxfId="405" totalsRowDxfId="180" dataCellStyle="Comma">
      <calculatedColumnFormula>B16-C16</calculatedColumnFormula>
    </tableColumn>
  </tableColumns>
  <tableStyleInfo name="V42_ExpenseTable" showFirstColumn="0" showLastColumn="1" showRowStripes="0" showColumnStripes="0"/>
</table>
</file>

<file path=xl/tables/table135.xml><?xml version="1.0" encoding="utf-8"?>
<table xmlns="http://schemas.openxmlformats.org/spreadsheetml/2006/main" id="4" name="Table62465" displayName="Table62465" ref="F10:I20" totalsRowCount="1" headerRowDxfId="404" dataDxfId="402" headerRowBorderDxfId="403" tableBorderDxfId="401">
  <tableColumns count="4">
    <tableColumn id="1" name="DAILY LIVING" totalsRowFunction="custom" dataDxfId="400" totalsRowDxfId="187">
      <totalsRowFormula>"Total " &amp; Table62465[[#Headers],[DAILY LIVING]]</totalsRowFormula>
    </tableColumn>
    <tableColumn id="2" name="Budget" totalsRowFunction="sum" dataDxfId="399" totalsRowDxfId="186" dataCellStyle="Comma">
      <calculatedColumnFormula>SUM(Table6[[#This Row],[Budget]]+Table6136[[#This Row],[Budget]]+Table6147[[#This Row],[Budget]]+Table6158[[#This Row],[Budget]]+Table6257[[#This Row],[Budget]]+Table659[[#This Row],[Budget]]+Table6180[[#This Row],[Budget]]+Table6191[[#This Row],[Budget]]+Table6202[[#This Row],[Budget]]+Table6213[[#This Row],[Budget]]+Table6224[[#This Row],[Budget]]+Table6235[[#This Row],[Budget]])</calculatedColumnFormula>
    </tableColumn>
    <tableColumn id="3" name="Average" totalsRowFunction="sum" dataDxfId="398" totalsRowDxfId="185" dataCellStyle="Comma">
      <calculatedColumnFormula>IFERROR(AVERAGE(Table6[[#This Row],[Actual]],Table6136[[#This Row],[Actual]],Table6147[[#This Row],[Actual]],Table6158[[#This Row],[Actual]],Table6257[[#This Row],[Actual]],Table659[[#This Row],[Actual]],Table6180[[#This Row],[Actual]],Table6191[[#This Row],[Actual]],Table6202[[#This Row],[Actual]],Table6213[[#This Row],[Actual]],Table6224[[#This Row],[Actual]],Table6235[[#This Row],[Actual]]),"0")</calculatedColumnFormula>
    </tableColumn>
    <tableColumn id="4" name="Difference" totalsRowFunction="sum" dataDxfId="397" totalsRowDxfId="184" dataCellStyle="Comma">
      <calculatedColumnFormula>G11-H11</calculatedColumnFormula>
    </tableColumn>
  </tableColumns>
  <tableStyleInfo name="V42_ExpenseTable" showFirstColumn="0" showLastColumn="1" showRowStripes="0" showColumnStripes="0"/>
</table>
</file>

<file path=xl/tables/table136.xml><?xml version="1.0" encoding="utf-8"?>
<table xmlns="http://schemas.openxmlformats.org/spreadsheetml/2006/main" id="9" name="Table724710" displayName="Table724710" ref="F22:I37" totalsRowCount="1" headerRowDxfId="396" dataDxfId="394" headerRowBorderDxfId="395" tableBorderDxfId="393">
  <tableColumns count="4">
    <tableColumn id="1" name="Entertainment" totalsRowFunction="custom" dataDxfId="392" totalsRowDxfId="175">
      <totalsRowFormula>"Total " &amp; Table724710[[#Headers],[Entertainment]]</totalsRowFormula>
    </tableColumn>
    <tableColumn id="2" name="Budget" totalsRowFunction="sum" dataDxfId="391" totalsRowDxfId="174" dataCellStyle="Comma">
      <calculatedColumnFormula>SUM(Table7[[#This Row],[Budget]]+Table7137[[#This Row],[Budget]]+Table7148[[#This Row],[Budget]]+Table7159[[#This Row],[Budget]]+Table7258[[#This Row],[Budget]]+Table760[[#This Row],[Budget]]+Table7181[[#This Row],[Budget]]+Table7192[[#This Row],[Budget]]+Table7203[[#This Row],[Budget]]+Table7214[[#This Row],[Budget]]+Table7225[[#This Row],[Budget]]+Table7236[[#This Row],[Budget]])</calculatedColumnFormula>
    </tableColumn>
    <tableColumn id="3" name="Average" totalsRowFunction="sum" dataDxfId="390" totalsRowDxfId="173" dataCellStyle="Comma">
      <calculatedColumnFormula>IFERROR(AVERAGE(Table7[[#This Row],[Actual]],Table7137[[#This Row],[Actual]],Table7148[[#This Row],[Actual]],Table7159[[#This Row],[Actual]],Table7258[[#This Row],[Actual]],Table760[[#This Row],[Actual]],Table7181[[#This Row],[Actual]],Table7192[[#This Row],[Actual]],Table7203[[#This Row],[Actual]],Table7214[[#This Row],[Actual]],Table7225[[#This Row],[Actual]],Table7236[[#This Row],[Actual]]),"0")</calculatedColumnFormula>
    </tableColumn>
    <tableColumn id="4" name="Difference" totalsRowFunction="sum" dataDxfId="389" totalsRowDxfId="172" dataCellStyle="Comma">
      <calculatedColumnFormula>G23-H23</calculatedColumnFormula>
    </tableColumn>
  </tableColumns>
  <tableStyleInfo name="V42_ExpenseTable" showFirstColumn="0" showLastColumn="1" showRowStripes="0" showColumnStripes="0"/>
</table>
</file>

<file path=xl/tables/table137.xml><?xml version="1.0" encoding="utf-8"?>
<table xmlns="http://schemas.openxmlformats.org/spreadsheetml/2006/main" id="11" name="Table824812" displayName="Table824812" ref="F39:I46" totalsRowCount="1" headerRowDxfId="388" dataDxfId="386" headerRowBorderDxfId="387" tableBorderDxfId="385">
  <tableColumns count="4">
    <tableColumn id="1" name="SAVINGS" totalsRowFunction="custom" dataDxfId="384" totalsRowDxfId="171">
      <totalsRowFormula>"Total " &amp; Table824812[[#Headers],[SAVINGS]]</totalsRowFormula>
    </tableColumn>
    <tableColumn id="2" name="Budget" totalsRowFunction="sum" dataDxfId="383" totalsRowDxfId="170">
      <calculatedColumnFormula>SUM(Table8[[#This Row],[Budget]]+Table8138[[#This Row],[Budget]]+Table8149[[#This Row],[Budget]]+Table8160[[#This Row],[Budget]]+Table8259[[#This Row],[Budget]]+Table861[[#This Row],[Budget]]+Table8182[[#This Row],[Budget]]+Table8193[[#This Row],[Budget]]+Table8204[[#This Row],[Budget]]+Table8215[[#This Row],[Budget]]+Table8226[[#This Row],[Budget]]+Table8237[[#This Row],[Budget]])</calculatedColumnFormula>
    </tableColumn>
    <tableColumn id="3" name="Average" totalsRowFunction="sum" dataDxfId="382" totalsRowDxfId="169">
      <calculatedColumnFormula>IFERROR(AVERAGE(Table8[[#This Row],[Actual]],Table8138[[#This Row],[Actual]],Table8149[[#This Row],[Actual]],Table8160[[#This Row],[Actual]],Table8259[[#This Row],[Actual]],Table861[[#This Row],[Actual]],Table8182[[#This Row],[Actual]],Table8193[[#This Row],[Actual]],Table8204[[#This Row],[Actual]],Table8215[[#This Row],[Actual]],Table8226[[#This Row],[Actual]],Table8237[[#This Row],[Actual]]),"0")</calculatedColumnFormula>
    </tableColumn>
    <tableColumn id="4" name="Difference" totalsRowFunction="sum" dataDxfId="381" totalsRowDxfId="168" dataCellStyle="Comma">
      <calculatedColumnFormula>G40-H40</calculatedColumnFormula>
    </tableColumn>
  </tableColumns>
  <tableStyleInfo name="V42_ExpenseTable" showFirstColumn="0" showLastColumn="1" showRowStripes="0" showColumnStripes="0"/>
</table>
</file>

<file path=xl/tables/table138.xml><?xml version="1.0" encoding="utf-8"?>
<table xmlns="http://schemas.openxmlformats.org/spreadsheetml/2006/main" id="12" name="Table1024913" displayName="Table1024913" ref="F48:I56" totalsRowCount="1" headerRowDxfId="380" dataDxfId="378" headerRowBorderDxfId="379">
  <tableColumns count="4">
    <tableColumn id="1" name="OBLIGATIONS" totalsRowFunction="custom" dataDxfId="377" totalsRowDxfId="167">
      <totalsRowFormula>"Total " &amp; Table1024913[[#Headers],[OBLIGATIONS]]</totalsRowFormula>
    </tableColumn>
    <tableColumn id="2" name="Budget" totalsRowFunction="sum" dataDxfId="376" totalsRowDxfId="166" dataCellStyle="Comma">
      <calculatedColumnFormula>SUM(Table10[[#This Row],[Budget]]+Table10139[[#This Row],[Budget]]+Table10150[[#This Row],[Budget]]+Table10161[[#This Row],[Budget]]+Table10260[[#This Row],[Budget]]+Table1062[[#This Row],[Budget]]+Table10183[[#This Row],[Budget]]+Table10194[[#This Row],[Budget]]+Table10205[[#This Row],[Budget]]+Table10216[[#This Row],[Budget]]+Table10227[[#This Row],[Budget]]+Table10238[[#This Row],[Budget]])</calculatedColumnFormula>
    </tableColumn>
    <tableColumn id="3" name="Average" totalsRowFunction="sum" dataDxfId="375" totalsRowDxfId="165" dataCellStyle="Comma">
      <calculatedColumnFormula>IFERROR(AVERAGE(Table10[[#This Row],[Actual]],Table10139[[#This Row],[Actual]],Table10150[[#This Row],[Actual]],Table10161[[#This Row],[Actual]],Table10260[[#This Row],[Actual]],Table1062[[#This Row],[Actual]],Table10183[[#This Row],[Actual]],Table10194[[#This Row],[Actual]],Table10205[[#This Row],[Actual]],Table10216[[#This Row],[Actual]],Table10227[[#This Row],[Actual]],Table10238[[#This Row],[Actual]]),"0")</calculatedColumnFormula>
    </tableColumn>
    <tableColumn id="4" name="Difference" totalsRowFunction="sum" dataDxfId="374" totalsRowDxfId="164" dataCellStyle="Comma">
      <calculatedColumnFormula>G49-H49</calculatedColumnFormula>
    </tableColumn>
  </tableColumns>
  <tableStyleInfo name="V42_ExpenseTable" showFirstColumn="0" showLastColumn="1" showRowStripes="0" showColumnStripes="0"/>
</table>
</file>

<file path=xl/tables/table139.xml><?xml version="1.0" encoding="utf-8"?>
<table xmlns="http://schemas.openxmlformats.org/spreadsheetml/2006/main" id="13" name="Table1425014" displayName="Table1425014" ref="F58:I63" totalsRowCount="1" headerRowDxfId="373" dataDxfId="371" headerRowBorderDxfId="372" tableBorderDxfId="370">
  <tableColumns count="4">
    <tableColumn id="1" name="MISCELLANEOUS" totalsRowFunction="custom" dataDxfId="369" totalsRowDxfId="368">
      <totalsRowFormula>"Total " &amp; Table1425014[[#Headers],[MISCELLANEOUS]]</totalsRowFormula>
    </tableColumn>
    <tableColumn id="2" name="Budget" totalsRowFunction="sum" dataDxfId="367" totalsRowDxfId="366" dataCellStyle="Comma">
      <calculatedColumnFormula>SUM(Table14[[#This Row],[Budget]]+Table14140[[#This Row],[Budget]]+Table14151[[#This Row],[Budget]]+Table14162[[#This Row],[Budget]]+Table14261[[#This Row],[Budget]]+Table1463[[#This Row],[Budget]]+Table14184[[#This Row],[Budget]]+Table14195[[#This Row],[Budget]]+Table14206[[#This Row],[Budget]]+Table14217[[#This Row],[Budget]]+Table14228[[#This Row],[Budget]]+Table14239[[#This Row],[Budget]])</calculatedColumnFormula>
    </tableColumn>
    <tableColumn id="3" name="Average" totalsRowFunction="sum" dataDxfId="365" totalsRowDxfId="364" dataCellStyle="Comma">
      <calculatedColumnFormula>IFERROR(AVERAGE(Table14[[#This Row],[Actual]],Table14140[[#This Row],[Actual]],Table14151[[#This Row],[Actual]],Table14162[[#This Row],[Actual]],Table14261[[#This Row],[Actual]],Table1463[[#This Row],[Actual]],Table14184[[#This Row],[Actual]],Table14195[[#This Row],[Actual]],Table14206[[#This Row],[Actual]],Table14217[[#This Row],[Actual]],Table14228[[#This Row],[Actual]],Table14239[[#This Row],[Actual]]),"0")</calculatedColumnFormula>
    </tableColumn>
    <tableColumn id="4" name="Difference" totalsRowFunction="sum" dataDxfId="363" totalsRowDxfId="362" dataCellStyle="Comma">
      <calculatedColumnFormula>G59-H59</calculatedColumnFormula>
    </tableColumn>
  </tableColumns>
  <tableStyleInfo name="V42_ExpenseTable" showFirstColumn="0" showLastColumn="1" showRowStripes="0" showColumnStripes="0"/>
</table>
</file>

<file path=xl/tables/table14.xml><?xml version="1.0" encoding="utf-8"?>
<table xmlns="http://schemas.openxmlformats.org/spreadsheetml/2006/main" id="135" name="Table6136" displayName="Table6136" ref="F10:I20" totalsRowCount="1" headerRowDxfId="1710" dataDxfId="1708" headerRowBorderDxfId="1709" tableBorderDxfId="1707">
  <tableColumns count="4">
    <tableColumn id="1" name="DAILY LIVING" totalsRowFunction="custom" dataDxfId="1706" totalsRowDxfId="111">
      <totalsRowFormula>"Total " &amp; Table6136[[#Headers],[DAILY LIVING]]</totalsRowFormula>
    </tableColumn>
    <tableColumn id="2" name="Budget" totalsRowFunction="sum" dataDxfId="1705" totalsRowDxfId="110" dataCellStyle="Comma"/>
    <tableColumn id="3" name="Actual" totalsRowFunction="sum" dataDxfId="1704" totalsRowDxfId="109" dataCellStyle="Comma"/>
    <tableColumn id="4" name="Difference" totalsRowFunction="sum" dataDxfId="1703" totalsRowDxfId="108" dataCellStyle="Comma">
      <calculatedColumnFormula>G11-H11</calculatedColumnFormula>
    </tableColumn>
  </tableColumns>
  <tableStyleInfo name="V42_ExpenseTable" showFirstColumn="0" showLastColumn="1" showRowStripes="0" showColumnStripes="0"/>
</table>
</file>

<file path=xl/tables/table140.xml><?xml version="1.0" encoding="utf-8"?>
<table xmlns="http://schemas.openxmlformats.org/spreadsheetml/2006/main" id="16" name="Table1525117" displayName="Table1525117" ref="A58:D63" totalsRowCount="1" headerRowDxfId="361" dataDxfId="359" headerRowBorderDxfId="360" tableBorderDxfId="358">
  <tableColumns count="4">
    <tableColumn id="1" name="SUBSCRIPTIONS" totalsRowFunction="custom" dataDxfId="357" totalsRowDxfId="356">
      <totalsRowFormula>"Total " &amp; Table1525117[[#Headers],[SUBSCRIPTIONS]]</totalsRowFormula>
    </tableColumn>
    <tableColumn id="2" name="Column1" dataDxfId="355" totalsRowDxfId="354" dataCellStyle="Comma"/>
    <tableColumn id="3" name="Average" totalsRowFunction="sum" dataDxfId="353" totalsRowDxfId="352" dataCellStyle="Comma">
      <calculatedColumnFormula>IFERROR(AVERAGE(Table15[[#This Row],[Actual]],Table15141[[#This Row],[Actual]],Table15152[[#This Row],[Actual]],Table15163[[#This Row],[Actual]],Table15262[[#This Row],[Actual]],Table1564[[#This Row],[Actual]],Table15185[[#This Row],[Actual]],Table15185[[#This Row],[Actual]],Table15196[[#This Row],[Actual]],Table15207[[#This Row],[Actual]],Table15218[[#This Row],[Actual]],Table15229[[#This Row],[Actual]],Table15240[[#This Row],[Actual]]),"0")</calculatedColumnFormula>
    </tableColumn>
    <tableColumn id="4" name="Difference" totalsRowFunction="sum" dataDxfId="351" totalsRowDxfId="350" dataCellStyle="Comma">
      <calculatedColumnFormula>B59-C59</calculatedColumnFormula>
    </tableColumn>
  </tableColumns>
  <tableStyleInfo name="V42_ExpenseTable" showFirstColumn="0" showLastColumn="1" showRowStripes="0" showColumnStripes="0"/>
</table>
</file>

<file path=xl/tables/table141.xml><?xml version="1.0" encoding="utf-8"?>
<table xmlns="http://schemas.openxmlformats.org/spreadsheetml/2006/main" id="17" name="Table1925218" displayName="Table1925218" ref="A51:D56" totalsRowCount="1" headerRowDxfId="349" dataDxfId="347" headerRowBorderDxfId="348" tableBorderDxfId="346">
  <tableColumns count="4">
    <tableColumn id="1" name="CHARITY/GIFTS" totalsRowFunction="custom" dataDxfId="345" totalsRowDxfId="163">
      <totalsRowFormula>"Total " &amp; Table1925218[[#Headers],[CHARITY/GIFTS]]</totalsRowFormula>
    </tableColumn>
    <tableColumn id="2" name="Column1" dataDxfId="344" totalsRowDxfId="162" dataCellStyle="Comma"/>
    <tableColumn id="3" name="Average" totalsRowFunction="sum" dataDxfId="343" totalsRowDxfId="161" dataCellStyle="Comma">
      <calculatedColumnFormula>IFERROR(AVERAGE(Table19[[#This Row],[Actual]],Table19142[[#This Row],[Actual]],Table19153[[#This Row],[Actual]],Table19164[[#This Row],[Actual]],Table19263[[#This Row],[Actual]],Table1965[[#This Row],[Actual]],Table19186[[#This Row],[Actual]],Table19197[[#This Row],[Actual]],Table19208[[#This Row],[Actual]],Table19219[[#This Row],[Actual]],Table19230[[#This Row],[Actual]],Table19241[[#This Row],[Actual]]),"0")</calculatedColumnFormula>
    </tableColumn>
    <tableColumn id="4" name="Difference" totalsRowFunction="sum" dataDxfId="342" totalsRowDxfId="160" dataCellStyle="Comma">
      <calculatedColumnFormula>B52-C52</calculatedColumnFormula>
    </tableColumn>
  </tableColumns>
  <tableStyleInfo name="V42_ExpenseTable" showFirstColumn="0" showLastColumn="1" showRowStripes="0" showColumnStripes="0"/>
</table>
</file>

<file path=xl/tables/table142.xml><?xml version="1.0" encoding="utf-8"?>
<table xmlns="http://schemas.openxmlformats.org/spreadsheetml/2006/main" id="18" name="Table2025319" displayName="Table2025319" ref="A31:D39" totalsRowCount="1" headerRowDxfId="341" dataDxfId="339" headerRowBorderDxfId="340" tableBorderDxfId="338">
  <tableColumns count="4">
    <tableColumn id="1" name="TRANSPORTATION" totalsRowFunction="custom" dataDxfId="337" totalsRowDxfId="179">
      <totalsRowFormula>"Total " &amp; Table2025319[[#Headers],[TRANSPORTATION]]</totalsRowFormula>
    </tableColumn>
    <tableColumn id="2" name="Column1" dataDxfId="336" totalsRowDxfId="178" dataCellStyle="Comma"/>
    <tableColumn id="3" name="Average" totalsRowFunction="sum" dataDxfId="335" totalsRowDxfId="177" dataCellStyle="Comma">
      <calculatedColumnFormula>IFERROR(AVERAGE(Table20[[#This Row],[Actual]],Table20143[[#This Row],[Actual]],Table20154[[#This Row],[Actual]],Table20165[[#This Row],[Actual]],Table20264[[#This Row],[Actual]],Table2066[[#This Row],[Actual]],Table20187[[#This Row],[Actual]],Table20198[[#This Row],[Actual]],Table20209[[#This Row],[Actual]],Table20220[[#This Row],[Actual]],Table20231[[#This Row],[Actual]],Table20242[[#This Row],[Actual]]),"0")</calculatedColumnFormula>
    </tableColumn>
    <tableColumn id="4" name="Difference" totalsRowFunction="sum" dataDxfId="334" totalsRowDxfId="176" dataCellStyle="Comma">
      <calculatedColumnFormula>B32-C32</calculatedColumnFormula>
    </tableColumn>
  </tableColumns>
  <tableStyleInfo name="V42_ExpenseTable" showFirstColumn="0" showLastColumn="1" showRowStripes="0" showColumnStripes="0"/>
</table>
</file>

<file path=xl/tables/table143.xml><?xml version="1.0" encoding="utf-8"?>
<table xmlns="http://schemas.openxmlformats.org/spreadsheetml/2006/main" id="22" name="Table2125423" displayName="Table2125423" ref="A41:D49" totalsRowCount="1" headerRowDxfId="333" dataDxfId="331" headerRowBorderDxfId="332" tableBorderDxfId="330">
  <tableColumns count="4">
    <tableColumn id="1" name="HEALTH" totalsRowFunction="custom" dataDxfId="329" totalsRowDxfId="328">
      <totalsRowFormula>"Total " &amp; Table2125423[[#Headers],[HEALTH]]</totalsRowFormula>
    </tableColumn>
    <tableColumn id="2" name="Column1" dataDxfId="327" totalsRowDxfId="326" dataCellStyle="Comma"/>
    <tableColumn id="3" name="Average" totalsRowFunction="sum" dataDxfId="325" totalsRowDxfId="324" dataCellStyle="Comma">
      <calculatedColumnFormula>IFERROR(AVERAGE(Table21[[#This Row],[Actual]],Table21144[[#This Row],[Actual]],Table21155[[#This Row],[Actual]],Table21166[[#This Row],[Actual]],Table21265[[#This Row],[Actual]],Table2167[[#This Row],[Actual]],Table21188[[#This Row],[Actual]],Table21199[[#This Row],[Actual]],Table21210[[#This Row],[Actual]],Table21221[[#This Row],[Actual]],Table21232[[#This Row],[Actual]],Table21243[[#This Row],[Actual]]),"0")</calculatedColumnFormula>
    </tableColumn>
    <tableColumn id="4" name="Difference" totalsRowFunction="sum" dataDxfId="323" totalsRowDxfId="322" dataCellStyle="Comma">
      <calculatedColumnFormula>B42-C42</calculatedColumnFormula>
    </tableColumn>
  </tableColumns>
  <tableStyleInfo name="V42_ExpenseTable" showFirstColumn="0" showLastColumn="1" showRowStripes="0" showColumnStripes="0"/>
</table>
</file>

<file path=xl/tables/table144.xml><?xml version="1.0" encoding="utf-8"?>
<table xmlns="http://schemas.openxmlformats.org/spreadsheetml/2006/main" id="243" name="Table2244" displayName="Table2244" ref="A4:D13" totalsRowCount="1" headerRowDxfId="319" dataDxfId="317" headerRowBorderDxfId="318" tableBorderDxfId="316">
  <tableColumns count="4">
    <tableColumn id="1" name="INCOME" totalsRowFunction="custom" totalsRowDxfId="315">
      <totalsRowFormula>"Total " &amp; Table2244[[#Headers],[INCOME]]</totalsRowFormula>
    </tableColumn>
    <tableColumn id="2" name="Budget" totalsRowFunction="sum" totalsRowDxfId="314" dataCellStyle="Comma"/>
    <tableColumn id="3" name="Actual" totalsRowFunction="sum" dataDxfId="313" totalsRowDxfId="312" dataCellStyle="Comma">
      <calculatedColumnFormula>SUM(Table2[[#This Row],[Actual]]+Table2135[[#This Row],[Actual]]+Table2146[[#This Row],[Actual]]+Table2157[[#This Row],[Actual]]+Table2255[[#This Row],[Actual]]+Table257[[#This Row],[Actual]]+Table2179[[#This Row],[Actual]]+Table2190[[#This Row],[Actual]]+Table2200[[#This Row],[Actual]]+Table2211[[#This Row],[Actual]]+Table2222[[#This Row],[Actual]]+Table2233[[#This Row],[Actual]])</calculatedColumnFormula>
    </tableColumn>
    <tableColumn id="4" name="Difference" totalsRowFunction="sum" totalsRowDxfId="311" dataCellStyle="Comma">
      <calculatedColumnFormula>C5-B5</calculatedColumnFormula>
    </tableColumn>
  </tableColumns>
  <tableStyleInfo name="V42_IncomeTable" showFirstColumn="0" showLastColumn="1" showRowStripes="0" showColumnStripes="0"/>
</table>
</file>

<file path=xl/tables/table145.xml><?xml version="1.0" encoding="utf-8"?>
<table xmlns="http://schemas.openxmlformats.org/spreadsheetml/2006/main" id="244" name="Table5245" displayName="Table5245" ref="A15:D29" totalsRowCount="1" headerRowDxfId="310" dataDxfId="308" headerRowBorderDxfId="309" tableBorderDxfId="307">
  <tableColumns count="4">
    <tableColumn id="1" name="HOME EXPENSES" totalsRowFunction="custom" dataDxfId="306" totalsRowDxfId="305">
      <totalsRowFormula>"Total " &amp; Table5245[[#Headers],[HOME EXPENSES]]</totalsRowFormula>
    </tableColumn>
    <tableColumn id="2" name="Budget" totalsRowFunction="sum" dataDxfId="304" totalsRowDxfId="303" dataCellStyle="Comma"/>
    <tableColumn id="3" name="Actual" totalsRowFunction="sum" dataDxfId="302" totalsRowDxfId="301" dataCellStyle="Comma">
      <calculatedColumnFormula>SUM(Table5[[#This Row],[Actual]]+Table5135[[#This Row],[Actual]]+Table5146[[#This Row],[Actual]]+Table5157[[#This Row],[Actual]]+Table5256[[#This Row],[Actual]]+Table558[[#This Row],[Actual]]+Table5179[[#This Row],[Actual]]+Table5190[[#This Row],[Actual]]+Table5201[[#This Row],[Actual]]+Table5212[[#This Row],[Actual]]+Table5223[[#This Row],[Actual]]+Table5234[[#This Row],[Actual]])</calculatedColumnFormula>
    </tableColumn>
    <tableColumn id="4" name="Difference" totalsRowFunction="sum" dataDxfId="300" totalsRowDxfId="299" dataCellStyle="Comma">
      <calculatedColumnFormula>B16-C16</calculatedColumnFormula>
    </tableColumn>
  </tableColumns>
  <tableStyleInfo name="V42_ExpenseTable" showFirstColumn="0" showLastColumn="1" showRowStripes="0" showColumnStripes="0"/>
</table>
</file>

<file path=xl/tables/table146.xml><?xml version="1.0" encoding="utf-8"?>
<table xmlns="http://schemas.openxmlformats.org/spreadsheetml/2006/main" id="245" name="Table6246" displayName="Table6246" ref="F10:I20" totalsRowCount="1" headerRowDxfId="298" dataDxfId="296" headerRowBorderDxfId="297" tableBorderDxfId="295">
  <tableColumns count="4">
    <tableColumn id="1" name="DAILY LIVING" totalsRowFunction="custom" dataDxfId="294" totalsRowDxfId="293">
      <totalsRowFormula>"Total " &amp; Table6246[[#Headers],[DAILY LIVING]]</totalsRowFormula>
    </tableColumn>
    <tableColumn id="2" name="Budget" totalsRowFunction="sum" dataDxfId="292" totalsRowDxfId="291" dataCellStyle="Comma">
      <calculatedColumnFormula>SUM(Table6[[#This Row],[Budget]]+Table6136[[#This Row],[Budget]]+Table6147[[#This Row],[Budget]]+Table6158[[#This Row],[Budget]]+Table6257[[#This Row],[Budget]]+Table659[[#This Row],[Budget]]+Table6180[[#This Row],[Budget]]+Table6191[[#This Row],[Budget]]+Table6202[[#This Row],[Budget]]+Table6213[[#This Row],[Budget]]+Table6224[[#This Row],[Budget]]+Table6235[[#This Row],[Budget]])</calculatedColumnFormula>
    </tableColumn>
    <tableColumn id="3" name="Actual" totalsRowFunction="sum" dataDxfId="290" totalsRowDxfId="289" dataCellStyle="Comma">
      <calculatedColumnFormula>SUM(Table6[[#This Row],[Actual]]+Table6136[[#This Row],[Actual]]+Table6147[[#This Row],[Actual]]+Table6158[[#This Row],[Actual]]+Table6257[[#This Row],[Actual]]+Table659[[#This Row],[Actual]]+Table6180[[#This Row],[Actual]]+Table6191[[#This Row],[Actual]]+Table6202[[#This Row],[Actual]]+Table6213[[#This Row],[Actual]]+Table6224[[#This Row],[Actual]]+Table6235[[#This Row],[Actual]])</calculatedColumnFormula>
    </tableColumn>
    <tableColumn id="4" name="Difference" totalsRowFunction="sum" dataDxfId="288" totalsRowDxfId="287" dataCellStyle="Comma">
      <calculatedColumnFormula>G11-H11</calculatedColumnFormula>
    </tableColumn>
  </tableColumns>
  <tableStyleInfo name="V42_ExpenseTable" showFirstColumn="0" showLastColumn="1" showRowStripes="0" showColumnStripes="0"/>
</table>
</file>

<file path=xl/tables/table147.xml><?xml version="1.0" encoding="utf-8"?>
<table xmlns="http://schemas.openxmlformats.org/spreadsheetml/2006/main" id="246" name="Table7247" displayName="Table7247" ref="F22:I37" totalsRowCount="1" headerRowDxfId="286" dataDxfId="284" headerRowBorderDxfId="285" tableBorderDxfId="283">
  <tableColumns count="4">
    <tableColumn id="1" name="Entertainment" totalsRowFunction="custom" dataDxfId="282" totalsRowDxfId="281">
      <totalsRowFormula>"Total " &amp; Table7247[[#Headers],[Entertainment]]</totalsRowFormula>
    </tableColumn>
    <tableColumn id="2" name="Budget" totalsRowFunction="sum" dataDxfId="280" totalsRowDxfId="279" dataCellStyle="Comma">
      <calculatedColumnFormula>SUM(Table7[[#This Row],[Budget]]+Table7137[[#This Row],[Budget]]+Table7148[[#This Row],[Budget]]+Table7159[[#This Row],[Budget]]+Table7258[[#This Row],[Budget]]+Table760[[#This Row],[Budget]]+Table7181[[#This Row],[Budget]]+Table7192[[#This Row],[Budget]]+Table7203[[#This Row],[Budget]]+Table7214[[#This Row],[Budget]]+Table7225[[#This Row],[Budget]]+Table7236[[#This Row],[Budget]])</calculatedColumnFormula>
    </tableColumn>
    <tableColumn id="3" name="Actual" totalsRowFunction="sum" dataDxfId="278" totalsRowDxfId="277" dataCellStyle="Comma">
      <calculatedColumnFormula>SUM(Table7[[#This Row],[Actual]]+Table7137[[#This Row],[Actual]]+Table7148[[#This Row],[Actual]]+Table7159[[#This Row],[Actual]]+Table7258[[#This Row],[Actual]]+Table760[[#This Row],[Actual]]+Table7181[[#This Row],[Actual]]+Table7192[[#This Row],[Actual]]+Table7203[[#This Row],[Actual]]+Table7214[[#This Row],[Actual]]+Table7225[[#This Row],[Actual]]+Table7236[[#This Row],[Actual]])</calculatedColumnFormula>
    </tableColumn>
    <tableColumn id="4" name="Difference" totalsRowFunction="sum" dataDxfId="276" totalsRowDxfId="275" dataCellStyle="Comma">
      <calculatedColumnFormula>G23-H23</calculatedColumnFormula>
    </tableColumn>
  </tableColumns>
  <tableStyleInfo name="V42_ExpenseTable" showFirstColumn="0" showLastColumn="1" showRowStripes="0" showColumnStripes="0"/>
</table>
</file>

<file path=xl/tables/table148.xml><?xml version="1.0" encoding="utf-8"?>
<table xmlns="http://schemas.openxmlformats.org/spreadsheetml/2006/main" id="247" name="Table8248" displayName="Table8248" ref="F39:I46" totalsRowCount="1" headerRowDxfId="274" dataDxfId="272" headerRowBorderDxfId="273" tableBorderDxfId="271">
  <tableColumns count="4">
    <tableColumn id="1" name="SAVINGS" totalsRowFunction="custom" dataDxfId="270" totalsRowDxfId="269">
      <totalsRowFormula>"Total " &amp; Table8248[[#Headers],[SAVINGS]]</totalsRowFormula>
    </tableColumn>
    <tableColumn id="2" name="Budget" totalsRowFunction="sum" dataDxfId="268" totalsRowDxfId="267">
      <calculatedColumnFormula>SUM(Table8[[#This Row],[Budget]]+Table8138[[#This Row],[Budget]]+Table8149[[#This Row],[Budget]]+Table8160[[#This Row],[Budget]]+Table8259[[#This Row],[Budget]]+Table861[[#This Row],[Budget]]+Table8182[[#This Row],[Budget]]+Table8193[[#This Row],[Budget]]+Table8204[[#This Row],[Budget]]+Table8215[[#This Row],[Budget]]+Table8226[[#This Row],[Budget]]+Table8237[[#This Row],[Budget]])</calculatedColumnFormula>
    </tableColumn>
    <tableColumn id="3" name="Actual" totalsRowFunction="sum" dataDxfId="266" totalsRowDxfId="265">
      <calculatedColumnFormula>SUM(Table8[[#This Row],[Actual]]+Table8138[[#This Row],[Actual]]+Table8149[[#This Row],[Actual]]+Table8160[[#This Row],[Actual]]+Table8259[[#This Row],[Actual]]+Table861[[#This Row],[Actual]]+Table8182[[#This Row],[Actual]]+Table8193[[#This Row],[Actual]]+Table8204[[#This Row],[Actual]]+Table8215[[#This Row],[Actual]]+Table8226[[#This Row],[Actual]]+Table8237[[#This Row],[Actual]])</calculatedColumnFormula>
    </tableColumn>
    <tableColumn id="4" name="Difference" totalsRowFunction="sum" dataDxfId="264" totalsRowDxfId="263" dataCellStyle="Comma">
      <calculatedColumnFormula>G40-H40</calculatedColumnFormula>
    </tableColumn>
  </tableColumns>
  <tableStyleInfo name="V42_ExpenseTable" showFirstColumn="0" showLastColumn="1" showRowStripes="0" showColumnStripes="0"/>
</table>
</file>

<file path=xl/tables/table149.xml><?xml version="1.0" encoding="utf-8"?>
<table xmlns="http://schemas.openxmlformats.org/spreadsheetml/2006/main" id="248" name="Table10249" displayName="Table10249" ref="F48:I56" totalsRowCount="1" headerRowDxfId="262" dataDxfId="260" headerRowBorderDxfId="261">
  <tableColumns count="4">
    <tableColumn id="1" name="OBLIGATIONS" totalsRowFunction="custom" dataDxfId="259" totalsRowDxfId="258">
      <totalsRowFormula>"Total " &amp; Table10249[[#Headers],[OBLIGATIONS]]</totalsRowFormula>
    </tableColumn>
    <tableColumn id="2" name="Budget" totalsRowFunction="sum" dataDxfId="257" totalsRowDxfId="256" dataCellStyle="Comma">
      <calculatedColumnFormula>SUM(Table10[[#This Row],[Budget]]+Table10139[[#This Row],[Budget]]+Table10150[[#This Row],[Budget]]+Table10161[[#This Row],[Budget]]+Table10260[[#This Row],[Budget]]+Table1062[[#This Row],[Budget]]+Table10183[[#This Row],[Budget]]+Table10194[[#This Row],[Budget]]+Table10205[[#This Row],[Budget]]+Table10216[[#This Row],[Budget]]+Table10227[[#This Row],[Budget]]+Table10238[[#This Row],[Budget]])</calculatedColumnFormula>
    </tableColumn>
    <tableColumn id="3" name="Actual" totalsRowFunction="sum" dataDxfId="255" totalsRowDxfId="254" dataCellStyle="Comma">
      <calculatedColumnFormula>SUM(Table10[[#This Row],[Actual]]+Table10139[[#This Row],[Actual]]+Table10150[[#This Row],[Actual]]+Table10161[[#This Row],[Actual]]+Table10260[[#This Row],[Actual]]+Table1062[[#This Row],[Actual]]+Table10183[[#This Row],[Actual]]+Table10194[[#This Row],[Actual]]+Table10205[[#This Row],[Actual]]+Table10216[[#This Row],[Actual]]+Table10227[[#This Row],[Actual]]+Table10238[[#This Row],[Actual]])</calculatedColumnFormula>
    </tableColumn>
    <tableColumn id="4" name="Difference" totalsRowFunction="sum" dataDxfId="253" totalsRowDxfId="252" dataCellStyle="Comma">
      <calculatedColumnFormula>G49-H49</calculatedColumnFormula>
    </tableColumn>
  </tableColumns>
  <tableStyleInfo name="V42_ExpenseTable" showFirstColumn="0" showLastColumn="1" showRowStripes="0" showColumnStripes="0"/>
</table>
</file>

<file path=xl/tables/table15.xml><?xml version="1.0" encoding="utf-8"?>
<table xmlns="http://schemas.openxmlformats.org/spreadsheetml/2006/main" id="136" name="Table7137" displayName="Table7137" ref="F22:I37" totalsRowCount="1" headerRowDxfId="1702" dataDxfId="1700" headerRowBorderDxfId="1701" tableBorderDxfId="1699">
  <tableColumns count="4">
    <tableColumn id="1" name="Entertainment" totalsRowFunction="custom" dataDxfId="1698" totalsRowDxfId="103">
      <totalsRowFormula>"Total " &amp; Table7137[[#Headers],[Entertainment]]</totalsRowFormula>
    </tableColumn>
    <tableColumn id="2" name="Budget" totalsRowFunction="sum" dataDxfId="1697" totalsRowDxfId="102" dataCellStyle="Comma"/>
    <tableColumn id="3" name="Actual" totalsRowFunction="sum" dataDxfId="1696" totalsRowDxfId="101" dataCellStyle="Comma"/>
    <tableColumn id="4" name="Difference" totalsRowFunction="sum" dataDxfId="1695" totalsRowDxfId="100" dataCellStyle="Comma">
      <calculatedColumnFormula>G23-H23</calculatedColumnFormula>
    </tableColumn>
  </tableColumns>
  <tableStyleInfo name="V42_ExpenseTable" showFirstColumn="0" showLastColumn="1" showRowStripes="0" showColumnStripes="0"/>
</table>
</file>

<file path=xl/tables/table150.xml><?xml version="1.0" encoding="utf-8"?>
<table xmlns="http://schemas.openxmlformats.org/spreadsheetml/2006/main" id="249" name="Table14250" displayName="Table14250" ref="F58:I63" totalsRowCount="1" headerRowDxfId="251" dataDxfId="249" headerRowBorderDxfId="250" tableBorderDxfId="248">
  <tableColumns count="4">
    <tableColumn id="1" name="MISCELLANEOUS" totalsRowFunction="custom" dataDxfId="247" totalsRowDxfId="246">
      <totalsRowFormula>"Total " &amp; Table14250[[#Headers],[MISCELLANEOUS]]</totalsRowFormula>
    </tableColumn>
    <tableColumn id="2" name="Budget" totalsRowFunction="sum" dataDxfId="245" totalsRowDxfId="244" dataCellStyle="Comma">
      <calculatedColumnFormula>SUM(Table14[[#This Row],[Budget]]+Table14140[[#This Row],[Budget]]+Table14151[[#This Row],[Budget]]+Table14162[[#This Row],[Budget]]+Table14261[[#This Row],[Budget]]+Table1463[[#This Row],[Budget]]+Table14184[[#This Row],[Budget]]+Table14195[[#This Row],[Budget]]+Table14206[[#This Row],[Budget]]+Table14217[[#This Row],[Budget]]+Table14228[[#This Row],[Budget]]+Table14239[[#This Row],[Budget]])</calculatedColumnFormula>
    </tableColumn>
    <tableColumn id="3" name="Actual" totalsRowFunction="sum" dataDxfId="243" totalsRowDxfId="242" dataCellStyle="Comma">
      <calculatedColumnFormula>SUM(Table14[[#This Row],[Actual]]+Table14140[[#This Row],[Actual]]+Table14151[[#This Row],[Actual]]+Table14162[[#This Row],[Actual]]+Table14261[[#This Row],[Actual]]+Table1463[[#This Row],[Actual]]+Table14184[[#This Row],[Actual]]+Table14195[[#This Row],[Actual]]+Table14206[[#This Row],[Actual]]+Table14217[[#This Row],[Actual]]+Table14228[[#This Row],[Actual]]+Table14239[[#This Row],[Actual]])</calculatedColumnFormula>
    </tableColumn>
    <tableColumn id="4" name="Difference" totalsRowFunction="sum" dataDxfId="241" totalsRowDxfId="240" dataCellStyle="Comma">
      <calculatedColumnFormula>G59-H59</calculatedColumnFormula>
    </tableColumn>
  </tableColumns>
  <tableStyleInfo name="V42_ExpenseTable" showFirstColumn="0" showLastColumn="1" showRowStripes="0" showColumnStripes="0"/>
</table>
</file>

<file path=xl/tables/table151.xml><?xml version="1.0" encoding="utf-8"?>
<table xmlns="http://schemas.openxmlformats.org/spreadsheetml/2006/main" id="250" name="Table15251" displayName="Table15251" ref="A58:D63" totalsRowCount="1" headerRowDxfId="239" dataDxfId="237" headerRowBorderDxfId="238" tableBorderDxfId="236">
  <tableColumns count="4">
    <tableColumn id="1" name="SUBSCRIPTIONS" totalsRowFunction="custom" dataDxfId="235" totalsRowDxfId="234">
      <totalsRowFormula>"Total " &amp; Table15251[[#Headers],[SUBSCRIPTIONS]]</totalsRowFormula>
    </tableColumn>
    <tableColumn id="2" name="Budget" totalsRowFunction="sum" dataDxfId="233" totalsRowDxfId="232" dataCellStyle="Comma">
      <calculatedColumnFormula>SUM(Table15[[#This Row],[Budget]]+Table15141[[#This Row],[Budget]]+Table15152[[#This Row],[Budget]]+Table15163[[#This Row],[Budget]]+Table15262[[#This Row],[Budget]]+Table1564[[#This Row],[Budget]]+Table15185[[#This Row],[Budget]]+Table15196[[#This Row],[Budget]]+Table15207[[#This Row],[Budget]]+Table15218[[#This Row],[Budget]]+Table15229[[#This Row],[Budget]]+Table15240[[#This Row],[Budget]])</calculatedColumnFormula>
    </tableColumn>
    <tableColumn id="3" name="Actual" totalsRowFunction="sum" dataDxfId="231" totalsRowDxfId="230" dataCellStyle="Comma">
      <calculatedColumnFormula>SUM(Table15[[#This Row],[Actual]]+Table15141[[#This Row],[Actual]]+Table15152[[#This Row],[Actual]]+Table15163[[#This Row],[Actual]]+Table15262[[#This Row],[Actual]]+Table1564[[#This Row],[Actual]]+Table15185[[#This Row],[Actual]]+Table15185[[#This Row],[Actual]]+Table15196[[#This Row],[Actual]]+Table15207[[#This Row],[Actual]]+Table15218[[#This Row],[Actual]]+Table15229[[#This Row],[Actual]]+Table15240[[#This Row],[Actual]])</calculatedColumnFormula>
    </tableColumn>
    <tableColumn id="4" name="Difference" totalsRowFunction="sum" dataDxfId="229" totalsRowDxfId="228" dataCellStyle="Comma">
      <calculatedColumnFormula>B59-C59</calculatedColumnFormula>
    </tableColumn>
  </tableColumns>
  <tableStyleInfo name="V42_ExpenseTable" showFirstColumn="0" showLastColumn="1" showRowStripes="0" showColumnStripes="0"/>
</table>
</file>

<file path=xl/tables/table152.xml><?xml version="1.0" encoding="utf-8"?>
<table xmlns="http://schemas.openxmlformats.org/spreadsheetml/2006/main" id="251" name="Table19252" displayName="Table19252" ref="A51:D56" totalsRowCount="1" headerRowDxfId="227" dataDxfId="225" headerRowBorderDxfId="226" tableBorderDxfId="224">
  <tableColumns count="4">
    <tableColumn id="1" name="CHARITY/GIFTS" totalsRowFunction="custom" dataDxfId="223" totalsRowDxfId="222">
      <totalsRowFormula>"Total " &amp; Table19252[[#Headers],[CHARITY/GIFTS]]</totalsRowFormula>
    </tableColumn>
    <tableColumn id="2" name="Budget" totalsRowFunction="sum" dataDxfId="221" totalsRowDxfId="220" dataCellStyle="Comma">
      <calculatedColumnFormula>SUM(Table19[[#This Row],[Budget]]+FEB!B42+MAR!B42+APR!B42+MAY!B42+JUN!B42+Table19186[[#This Row],[Budget]]+Table19197[[#This Row],[Budget]]+Table19208[[#This Row],[Budget]]+OCT!B42+NOV!B42+DEC!B42)</calculatedColumnFormula>
    </tableColumn>
    <tableColumn id="3" name="Actual" totalsRowFunction="sum" dataDxfId="219" totalsRowDxfId="218" dataCellStyle="Comma">
      <calculatedColumnFormula>SUM(Table19[[#This Row],[Actual]]+Table19142[[#This Row],[Actual]]+Table19153[[#This Row],[Actual]]+Table19164[[#This Row],[Actual]]+Table19263[[#This Row],[Actual]]+Table1965[[#This Row],[Actual]]+Table19186[[#This Row],[Actual]]+Table19197[[#This Row],[Actual]]+Table19208[[#This Row],[Actual]]+Table19219[[#This Row],[Actual]]+Table19230[[#This Row],[Actual]]+Table19241[[#This Row],[Actual]])</calculatedColumnFormula>
    </tableColumn>
    <tableColumn id="4" name="Difference" totalsRowFunction="sum" dataDxfId="217" totalsRowDxfId="216" dataCellStyle="Comma">
      <calculatedColumnFormula>B52-C52</calculatedColumnFormula>
    </tableColumn>
  </tableColumns>
  <tableStyleInfo name="V42_ExpenseTable" showFirstColumn="0" showLastColumn="1" showRowStripes="0" showColumnStripes="0"/>
</table>
</file>

<file path=xl/tables/table153.xml><?xml version="1.0" encoding="utf-8"?>
<table xmlns="http://schemas.openxmlformats.org/spreadsheetml/2006/main" id="252" name="Table20253" displayName="Table20253" ref="A31:D39" totalsRowCount="1" headerRowDxfId="215" dataDxfId="213" headerRowBorderDxfId="214" tableBorderDxfId="212">
  <tableColumns count="4">
    <tableColumn id="1" name="TRANSPORTATION" totalsRowFunction="custom" dataDxfId="211" totalsRowDxfId="210">
      <totalsRowFormula>"Total " &amp; Table20253[[#Headers],[TRANSPORTATION]]</totalsRowFormula>
    </tableColumn>
    <tableColumn id="2" name="Budget" totalsRowFunction="sum" dataDxfId="209" totalsRowDxfId="208" dataCellStyle="Comma">
      <calculatedColumnFormula>SUM(Table20[[#This Row],[Budget]]+Table20143[[#This Row],[Budget]]+Table20154[[#This Row],[Budget]]+Table20165[[#This Row],[Budget]]+Table20264[[#This Row],[Budget]]+Table2066[[#This Row],[Budget]]+Table20187[[#This Row],[Budget]]+Table20198[[#This Row],[Budget]]+Table20209[[#This Row],[Budget]]+Table20220[[#This Row],[Budget]]+Table20231[[#This Row],[Budget]]+Table20242[[#This Row],[Budget]])</calculatedColumnFormula>
    </tableColumn>
    <tableColumn id="3" name="Actual" totalsRowFunction="sum" dataDxfId="207" totalsRowDxfId="206" dataCellStyle="Comma">
      <calculatedColumnFormula>SUM(Table20[[#This Row],[Actual]]+Table20143[[#This Row],[Actual]]+Table20154[[#This Row],[Actual]]+Table20165[[#This Row],[Actual]]+Table20264[[#This Row],[Actual]]+Table2066[[#This Row],[Actual]]+Table20187[[#This Row],[Actual]]+Table20198[[#This Row],[Actual]]+Table20209[[#This Row],[Actual]]+Table20220[[#This Row],[Actual]]+Table20231[[#This Row],[Actual]]+Table20242[[#This Row],[Actual]])</calculatedColumnFormula>
    </tableColumn>
    <tableColumn id="4" name="Difference" totalsRowFunction="sum" dataDxfId="205" totalsRowDxfId="204" dataCellStyle="Comma">
      <calculatedColumnFormula>B32-C32</calculatedColumnFormula>
    </tableColumn>
  </tableColumns>
  <tableStyleInfo name="V42_ExpenseTable" showFirstColumn="0" showLastColumn="1" showRowStripes="0" showColumnStripes="0"/>
</table>
</file>

<file path=xl/tables/table154.xml><?xml version="1.0" encoding="utf-8"?>
<table xmlns="http://schemas.openxmlformats.org/spreadsheetml/2006/main" id="253" name="Table21254" displayName="Table21254" ref="A41:D49" totalsRowCount="1" headerRowDxfId="203" dataDxfId="201" headerRowBorderDxfId="202" tableBorderDxfId="200">
  <tableColumns count="4">
    <tableColumn id="1" name="HEALTH" totalsRowFunction="custom" dataDxfId="199" totalsRowDxfId="198">
      <totalsRowFormula>"Total " &amp; Table21254[[#Headers],[HEALTH]]</totalsRowFormula>
    </tableColumn>
    <tableColumn id="2" name="Budget" totalsRowFunction="sum" dataDxfId="197" totalsRowDxfId="196" dataCellStyle="Comma">
      <calculatedColumnFormula>SUM(Table21[[#This Row],[Budget]]+Table21144[[#This Row],[Budget]]+Table21155[[#This Row],[Budget]]+Table21166[[#This Row],[Budget]]+Table21265[[#This Row],[Budget]]+Table2167[[#This Row],[Budget]]+Table21188[[#This Row],[Budget]]+Table21199[[#This Row],[Budget]]+Table21210[[#This Row],[Budget]]+Table21221[[#This Row],[Budget]]+Table21232[[#This Row],[Budget]]+Table21243[[#This Row],[Budget]])</calculatedColumnFormula>
    </tableColumn>
    <tableColumn id="3" name="Actual" totalsRowFunction="sum" dataDxfId="195" totalsRowDxfId="194" dataCellStyle="Comma">
      <calculatedColumnFormula>SUM(Table21[[#This Row],[Actual]]+Table21144[[#This Row],[Actual]]+Table21155[[#This Row],[Actual]]+Table21166[[#This Row],[Actual]]+Table21265[[#This Row],[Actual]]+Table2167[[#This Row],[Actual]]+Table21188[[#This Row],[Actual]]+Table21199[[#This Row],[Actual]]+Table21210[[#This Row],[Actual]]+Table21221[[#This Row],[Actual]]+Table21232[[#This Row],[Actual]]+Table21243[[#This Row],[Actual]])</calculatedColumnFormula>
    </tableColumn>
    <tableColumn id="4" name="Difference" totalsRowFunction="sum" dataDxfId="193" totalsRowDxfId="192" dataCellStyle="Comma">
      <calculatedColumnFormula>B42-C42</calculatedColumnFormula>
    </tableColumn>
  </tableColumns>
  <tableStyleInfo name="V42_ExpenseTable" showFirstColumn="0" showLastColumn="1" showRowStripes="0" showColumnStripes="0"/>
</table>
</file>

<file path=xl/tables/table16.xml><?xml version="1.0" encoding="utf-8"?>
<table xmlns="http://schemas.openxmlformats.org/spreadsheetml/2006/main" id="137" name="Table8138" displayName="Table8138" ref="F39:I46" totalsRowCount="1" headerRowDxfId="1694" dataDxfId="1692" headerRowBorderDxfId="1693" tableBorderDxfId="1691">
  <tableColumns count="4">
    <tableColumn id="1" name="SAVINGS" totalsRowFunction="custom" dataDxfId="1690" totalsRowDxfId="79">
      <totalsRowFormula>"Total " &amp; Table8138[[#Headers],[SAVINGS]]</totalsRowFormula>
    </tableColumn>
    <tableColumn id="2" name="Budget" totalsRowFunction="sum" dataDxfId="1689" totalsRowDxfId="78"/>
    <tableColumn id="3" name="Actual" totalsRowFunction="sum" dataDxfId="1688" totalsRowDxfId="77"/>
    <tableColumn id="4" name="Difference" totalsRowFunction="sum" dataDxfId="1687" totalsRowDxfId="76" dataCellStyle="Comma">
      <calculatedColumnFormula>G40-H40</calculatedColumnFormula>
    </tableColumn>
  </tableColumns>
  <tableStyleInfo name="V42_ExpenseTable" showFirstColumn="0" showLastColumn="1" showRowStripes="0" showColumnStripes="0"/>
</table>
</file>

<file path=xl/tables/table17.xml><?xml version="1.0" encoding="utf-8"?>
<table xmlns="http://schemas.openxmlformats.org/spreadsheetml/2006/main" id="138" name="Table10139" displayName="Table10139" ref="F48:I56" totalsRowCount="1" headerRowDxfId="1686" dataDxfId="1684" headerRowBorderDxfId="1685">
  <tableColumns count="4">
    <tableColumn id="1" name="OBLIGATIONS" totalsRowFunction="custom" dataDxfId="1683" totalsRowDxfId="83">
      <totalsRowFormula>"Total " &amp; Table10139[[#Headers],[OBLIGATIONS]]</totalsRowFormula>
    </tableColumn>
    <tableColumn id="2" name="Budget" totalsRowFunction="sum" dataDxfId="1682" totalsRowDxfId="82" dataCellStyle="Comma"/>
    <tableColumn id="3" name="Actual" totalsRowFunction="sum" dataDxfId="1681" totalsRowDxfId="81" dataCellStyle="Comma"/>
    <tableColumn id="4" name="Difference" totalsRowFunction="sum" dataDxfId="1680" totalsRowDxfId="80" dataCellStyle="Comma">
      <calculatedColumnFormula>G49-H49</calculatedColumnFormula>
    </tableColumn>
  </tableColumns>
  <tableStyleInfo name="V42_ExpenseTable" showFirstColumn="0" showLastColumn="1" showRowStripes="0" showColumnStripes="0"/>
</table>
</file>

<file path=xl/tables/table18.xml><?xml version="1.0" encoding="utf-8"?>
<table xmlns="http://schemas.openxmlformats.org/spreadsheetml/2006/main" id="139" name="Table14140" displayName="Table14140" ref="F58:I63" totalsRowCount="1" headerRowDxfId="1679" dataDxfId="1677" headerRowBorderDxfId="1678" tableBorderDxfId="1676">
  <tableColumns count="4">
    <tableColumn id="1" name="MISCELLANEOUS" totalsRowFunction="custom" dataDxfId="1675" totalsRowDxfId="87">
      <totalsRowFormula>"Total " &amp; Table14140[[#Headers],[MISCELLANEOUS]]</totalsRowFormula>
    </tableColumn>
    <tableColumn id="2" name="Budget" totalsRowFunction="sum" dataDxfId="1674" totalsRowDxfId="86" dataCellStyle="Comma"/>
    <tableColumn id="3" name="Actual" totalsRowFunction="sum" dataDxfId="1673" totalsRowDxfId="85" dataCellStyle="Comma"/>
    <tableColumn id="4" name="Difference" totalsRowFunction="sum" dataDxfId="1672" totalsRowDxfId="84" dataCellStyle="Comma">
      <calculatedColumnFormula>G59-H59</calculatedColumnFormula>
    </tableColumn>
  </tableColumns>
  <tableStyleInfo name="V42_ExpenseTable" showFirstColumn="0" showLastColumn="1" showRowStripes="0" showColumnStripes="0"/>
</table>
</file>

<file path=xl/tables/table19.xml><?xml version="1.0" encoding="utf-8"?>
<table xmlns="http://schemas.openxmlformats.org/spreadsheetml/2006/main" id="140" name="Table15141" displayName="Table15141" ref="A58:D63" totalsRowCount="1" headerRowDxfId="1671" dataDxfId="1669" headerRowBorderDxfId="1670" tableBorderDxfId="1668">
  <tableColumns count="4">
    <tableColumn id="1" name="SUBSCRIPTIONS" totalsRowFunction="custom" dataDxfId="1667" totalsRowDxfId="75">
      <totalsRowFormula>"Total " &amp; Table15141[[#Headers],[SUBSCRIPTIONS]]</totalsRowFormula>
    </tableColumn>
    <tableColumn id="2" name="Budget" totalsRowFunction="sum" dataDxfId="1666" totalsRowDxfId="74" dataCellStyle="Comma"/>
    <tableColumn id="3" name="Actual" totalsRowFunction="sum" dataDxfId="1665" totalsRowDxfId="73" dataCellStyle="Comma"/>
    <tableColumn id="4" name="Difference" totalsRowFunction="sum" dataDxfId="1664" totalsRowDxfId="72" dataCellStyle="Comma">
      <calculatedColumnFormula>B59-C59</calculatedColumnFormula>
    </tableColumn>
  </tableColumns>
  <tableStyleInfo name="V42_ExpenseTable" showFirstColumn="0" showLastColumn="1" showRowStripes="0" showColumnStripes="0"/>
</table>
</file>

<file path=xl/tables/table2.xml><?xml version="1.0" encoding="utf-8"?>
<table xmlns="http://schemas.openxmlformats.org/spreadsheetml/2006/main" id="5" name="Table5" displayName="Table5" ref="A15:D29" totalsRowCount="1" headerRowDxfId="1803" dataDxfId="1801" headerRowBorderDxfId="1802" tableBorderDxfId="1800">
  <tableColumns count="4">
    <tableColumn id="1" name="HOME EXPENSES" totalsRowFunction="custom" dataDxfId="1799" totalsRowDxfId="155">
      <totalsRowFormula>"Total " &amp; Table5[[#Headers],[HOME EXPENSES]]</totalsRowFormula>
    </tableColumn>
    <tableColumn id="2" name="Budget" totalsRowFunction="sum" dataDxfId="1798" totalsRowDxfId="154" dataCellStyle="Comma"/>
    <tableColumn id="3" name="Actual" totalsRowFunction="sum" dataDxfId="1797" totalsRowDxfId="153" dataCellStyle="Comma"/>
    <tableColumn id="4" name="Difference" totalsRowFunction="sum" dataDxfId="1796" totalsRowDxfId="152" dataCellStyle="Comma">
      <calculatedColumnFormula>B16-C16</calculatedColumnFormula>
    </tableColumn>
  </tableColumns>
  <tableStyleInfo name="V42_ExpenseTable" showFirstColumn="0" showLastColumn="1" showRowStripes="0" showColumnStripes="0"/>
</table>
</file>

<file path=xl/tables/table20.xml><?xml version="1.0" encoding="utf-8"?>
<table xmlns="http://schemas.openxmlformats.org/spreadsheetml/2006/main" id="141" name="Table19142" displayName="Table19142" ref="A51:D56" totalsRowCount="1" headerRowDxfId="1663" dataDxfId="1661" headerRowBorderDxfId="1662" tableBorderDxfId="1660">
  <tableColumns count="4">
    <tableColumn id="1" name="CHARITY/GIFTS" totalsRowFunction="custom" dataDxfId="1659" totalsRowDxfId="91">
      <totalsRowFormula>"Total " &amp; Table19142[[#Headers],[CHARITY/GIFTS]]</totalsRowFormula>
    </tableColumn>
    <tableColumn id="2" name="Budget" totalsRowFunction="sum" dataDxfId="1658" totalsRowDxfId="90" dataCellStyle="Comma"/>
    <tableColumn id="3" name="Actual" totalsRowFunction="sum" dataDxfId="1657" totalsRowDxfId="89" dataCellStyle="Comma"/>
    <tableColumn id="4" name="Difference" totalsRowFunction="sum" dataDxfId="1656" totalsRowDxfId="88" dataCellStyle="Comma">
      <calculatedColumnFormula>B52-C52</calculatedColumnFormula>
    </tableColumn>
  </tableColumns>
  <tableStyleInfo name="V42_ExpenseTable" showFirstColumn="0" showLastColumn="1" showRowStripes="0" showColumnStripes="0"/>
</table>
</file>

<file path=xl/tables/table21.xml><?xml version="1.0" encoding="utf-8"?>
<table xmlns="http://schemas.openxmlformats.org/spreadsheetml/2006/main" id="142" name="Table20143" displayName="Table20143" ref="A31:D39" totalsRowCount="1" headerRowDxfId="1655" dataDxfId="1653" headerRowBorderDxfId="1654" tableBorderDxfId="1652">
  <tableColumns count="4">
    <tableColumn id="1" name="TRANSPORTATION" totalsRowFunction="custom" dataDxfId="1651" totalsRowDxfId="99">
      <totalsRowFormula>"Total " &amp; Table20143[[#Headers],[TRANSPORTATION]]</totalsRowFormula>
    </tableColumn>
    <tableColumn id="2" name="Budget" totalsRowFunction="sum" dataDxfId="1650" totalsRowDxfId="98" dataCellStyle="Comma"/>
    <tableColumn id="3" name="Actual" totalsRowFunction="sum" dataDxfId="1649" totalsRowDxfId="97" dataCellStyle="Comma"/>
    <tableColumn id="4" name="Difference" totalsRowFunction="sum" dataDxfId="1648" totalsRowDxfId="96" dataCellStyle="Comma">
      <calculatedColumnFormula>B32-C32</calculatedColumnFormula>
    </tableColumn>
  </tableColumns>
  <tableStyleInfo name="V42_ExpenseTable" showFirstColumn="0" showLastColumn="1" showRowStripes="0" showColumnStripes="0"/>
</table>
</file>

<file path=xl/tables/table22.xml><?xml version="1.0" encoding="utf-8"?>
<table xmlns="http://schemas.openxmlformats.org/spreadsheetml/2006/main" id="143" name="Table21144" displayName="Table21144" ref="A41:D49" totalsRowCount="1" headerRowDxfId="1647" dataDxfId="1645" headerRowBorderDxfId="1646" tableBorderDxfId="1644">
  <tableColumns count="4">
    <tableColumn id="1" name="HEALTH" totalsRowFunction="custom" dataDxfId="1643" totalsRowDxfId="95">
      <totalsRowFormula>"Total " &amp; Table21144[[#Headers],[HEALTH]]</totalsRowFormula>
    </tableColumn>
    <tableColumn id="2" name="Budget" totalsRowFunction="sum" dataDxfId="1642" totalsRowDxfId="94" dataCellStyle="Comma"/>
    <tableColumn id="3" name="Actual" totalsRowFunction="sum" dataDxfId="1641" totalsRowDxfId="93" dataCellStyle="Comma"/>
    <tableColumn id="4" name="Difference" totalsRowFunction="sum" dataDxfId="1640" totalsRowDxfId="92" dataCellStyle="Comma">
      <calculatedColumnFormula>B42-C42</calculatedColumnFormula>
    </tableColumn>
  </tableColumns>
  <tableStyleInfo name="V42_ExpenseTable" showFirstColumn="0" showLastColumn="1" showRowStripes="0" showColumnStripes="0"/>
</table>
</file>

<file path=xl/tables/table23.xml><?xml version="1.0" encoding="utf-8"?>
<table xmlns="http://schemas.openxmlformats.org/spreadsheetml/2006/main" id="144" name="Table2146" displayName="Table2146" ref="A4:D13" totalsRowCount="1" headerRowDxfId="1637" dataDxfId="1635" headerRowBorderDxfId="1636" tableBorderDxfId="1634">
  <tableColumns count="4">
    <tableColumn id="1" name="INCOME" totalsRowFunction="custom" totalsRowDxfId="71">
      <totalsRowFormula>"Total " &amp; Table2146[[#Headers],[INCOME]]</totalsRowFormula>
    </tableColumn>
    <tableColumn id="2" name="Budget" totalsRowFunction="sum" totalsRowDxfId="70" dataCellStyle="Comma"/>
    <tableColumn id="3" name="Actual" totalsRowFunction="sum" totalsRowDxfId="69" dataCellStyle="Comma"/>
    <tableColumn id="4" name="Difference" totalsRowFunction="sum" totalsRowDxfId="68" dataCellStyle="Comma">
      <calculatedColumnFormula>C5-B5</calculatedColumnFormula>
    </tableColumn>
  </tableColumns>
  <tableStyleInfo name="V42_IncomeTable" showFirstColumn="0" showLastColumn="1" showRowStripes="0" showColumnStripes="0"/>
</table>
</file>

<file path=xl/tables/table24.xml><?xml version="1.0" encoding="utf-8"?>
<table xmlns="http://schemas.openxmlformats.org/spreadsheetml/2006/main" id="145" name="Table5146" displayName="Table5146" ref="A15:D29" totalsRowCount="1" headerRowDxfId="1633" dataDxfId="1631" headerRowBorderDxfId="1632" tableBorderDxfId="1630">
  <tableColumns count="4">
    <tableColumn id="1" name="HOME EXPENSES" totalsRowFunction="custom" dataDxfId="1629" totalsRowDxfId="67">
      <totalsRowFormula>"Total " &amp; Table5146[[#Headers],[HOME EXPENSES]]</totalsRowFormula>
    </tableColumn>
    <tableColumn id="2" name="Budget" totalsRowFunction="sum" dataDxfId="1628" totalsRowDxfId="66" dataCellStyle="Comma"/>
    <tableColumn id="3" name="Actual" totalsRowFunction="sum" dataDxfId="1627" totalsRowDxfId="65" dataCellStyle="Comma"/>
    <tableColumn id="4" name="Difference" totalsRowFunction="sum" dataDxfId="1626" totalsRowDxfId="64" dataCellStyle="Comma">
      <calculatedColumnFormula>B16-C16</calculatedColumnFormula>
    </tableColumn>
  </tableColumns>
  <tableStyleInfo name="V42_ExpenseTable" showFirstColumn="0" showLastColumn="1" showRowStripes="0" showColumnStripes="0"/>
</table>
</file>

<file path=xl/tables/table25.xml><?xml version="1.0" encoding="utf-8"?>
<table xmlns="http://schemas.openxmlformats.org/spreadsheetml/2006/main" id="146" name="Table6147" displayName="Table6147" ref="F10:I20" totalsRowCount="1" headerRowDxfId="1625" dataDxfId="1623" headerRowBorderDxfId="1624" tableBorderDxfId="1622">
  <tableColumns count="4">
    <tableColumn id="1" name="DAILY LIVING" totalsRowFunction="custom" dataDxfId="1621" totalsRowDxfId="31">
      <totalsRowFormula>"Total " &amp; Table6147[[#Headers],[DAILY LIVING]]</totalsRowFormula>
    </tableColumn>
    <tableColumn id="2" name="Budget" totalsRowFunction="sum" dataDxfId="1620" totalsRowDxfId="30" dataCellStyle="Comma"/>
    <tableColumn id="3" name="Actual" totalsRowFunction="sum" dataDxfId="1619" totalsRowDxfId="29" dataCellStyle="Comma"/>
    <tableColumn id="4" name="Difference" totalsRowFunction="sum" dataDxfId="1618" totalsRowDxfId="28" dataCellStyle="Comma">
      <calculatedColumnFormula>G11-H11</calculatedColumnFormula>
    </tableColumn>
  </tableColumns>
  <tableStyleInfo name="V42_ExpenseTable" showFirstColumn="0" showLastColumn="1" showRowStripes="0" showColumnStripes="0"/>
</table>
</file>

<file path=xl/tables/table26.xml><?xml version="1.0" encoding="utf-8"?>
<table xmlns="http://schemas.openxmlformats.org/spreadsheetml/2006/main" id="147" name="Table7148" displayName="Table7148" ref="F22:I37" totalsRowCount="1" headerRowDxfId="1617" dataDxfId="1615" headerRowBorderDxfId="1616" tableBorderDxfId="1614">
  <tableColumns count="4">
    <tableColumn id="1" name="Entertainment" totalsRowFunction="custom" dataDxfId="1613" totalsRowDxfId="35">
      <totalsRowFormula>"Total " &amp; Table7148[[#Headers],[Entertainment]]</totalsRowFormula>
    </tableColumn>
    <tableColumn id="2" name="Budget" totalsRowFunction="sum" dataDxfId="1612" totalsRowDxfId="34" dataCellStyle="Comma"/>
    <tableColumn id="3" name="Actual" totalsRowFunction="sum" dataDxfId="1611" totalsRowDxfId="33" dataCellStyle="Comma"/>
    <tableColumn id="4" name="Difference" totalsRowFunction="sum" dataDxfId="1610" totalsRowDxfId="32" dataCellStyle="Comma">
      <calculatedColumnFormula>G23-H23</calculatedColumnFormula>
    </tableColumn>
  </tableColumns>
  <tableStyleInfo name="V42_ExpenseTable" showFirstColumn="0" showLastColumn="1" showRowStripes="0" showColumnStripes="0"/>
</table>
</file>

<file path=xl/tables/table27.xml><?xml version="1.0" encoding="utf-8"?>
<table xmlns="http://schemas.openxmlformats.org/spreadsheetml/2006/main" id="148" name="Table8149" displayName="Table8149" ref="F39:I46" totalsRowCount="1" headerRowDxfId="1609" dataDxfId="1607" headerRowBorderDxfId="1608" tableBorderDxfId="1606">
  <tableColumns count="4">
    <tableColumn id="1" name="SAVINGS" totalsRowFunction="custom" dataDxfId="1605" totalsRowDxfId="39">
      <totalsRowFormula>"Total " &amp; Table8149[[#Headers],[SAVINGS]]</totalsRowFormula>
    </tableColumn>
    <tableColumn id="2" name="Budget" totalsRowFunction="sum" dataDxfId="1604" totalsRowDxfId="38"/>
    <tableColumn id="3" name="Actual" totalsRowFunction="sum" dataDxfId="1603" totalsRowDxfId="37"/>
    <tableColumn id="4" name="Difference" totalsRowFunction="sum" dataDxfId="1602" totalsRowDxfId="36" dataCellStyle="Comma">
      <calculatedColumnFormula>G40-H40</calculatedColumnFormula>
    </tableColumn>
  </tableColumns>
  <tableStyleInfo name="V42_ExpenseTable" showFirstColumn="0" showLastColumn="1" showRowStripes="0" showColumnStripes="0"/>
</table>
</file>

<file path=xl/tables/table28.xml><?xml version="1.0" encoding="utf-8"?>
<table xmlns="http://schemas.openxmlformats.org/spreadsheetml/2006/main" id="149" name="Table10150" displayName="Table10150" ref="F48:I56" totalsRowCount="1" headerRowDxfId="1601" dataDxfId="1599" headerRowBorderDxfId="1600">
  <tableColumns count="4">
    <tableColumn id="1" name="OBLIGATIONS" totalsRowFunction="custom" dataDxfId="1598" totalsRowDxfId="43">
      <totalsRowFormula>"Total " &amp; Table10150[[#Headers],[OBLIGATIONS]]</totalsRowFormula>
    </tableColumn>
    <tableColumn id="2" name="Budget" totalsRowFunction="sum" dataDxfId="1597" totalsRowDxfId="42" dataCellStyle="Comma"/>
    <tableColumn id="3" name="Actual" totalsRowFunction="sum" dataDxfId="1596" totalsRowDxfId="41" dataCellStyle="Comma"/>
    <tableColumn id="4" name="Difference" totalsRowFunction="sum" dataDxfId="1595" totalsRowDxfId="40" dataCellStyle="Comma">
      <calculatedColumnFormula>G49-H49</calculatedColumnFormula>
    </tableColumn>
  </tableColumns>
  <tableStyleInfo name="V42_ExpenseTable" showFirstColumn="0" showLastColumn="1" showRowStripes="0" showColumnStripes="0"/>
</table>
</file>

<file path=xl/tables/table29.xml><?xml version="1.0" encoding="utf-8"?>
<table xmlns="http://schemas.openxmlformats.org/spreadsheetml/2006/main" id="150" name="Table14151" displayName="Table14151" ref="F58:I63" totalsRowCount="1" headerRowDxfId="1594" dataDxfId="1592" headerRowBorderDxfId="1593" tableBorderDxfId="1591">
  <tableColumns count="4">
    <tableColumn id="1" name="MISCELLANEOUS" totalsRowFunction="custom" dataDxfId="1590" totalsRowDxfId="47">
      <totalsRowFormula>"Total " &amp; Table14151[[#Headers],[MISCELLANEOUS]]</totalsRowFormula>
    </tableColumn>
    <tableColumn id="2" name="Budget" totalsRowFunction="sum" dataDxfId="1589" totalsRowDxfId="46" dataCellStyle="Comma"/>
    <tableColumn id="3" name="Actual" totalsRowFunction="sum" dataDxfId="1588" totalsRowDxfId="45" dataCellStyle="Comma"/>
    <tableColumn id="4" name="Difference" totalsRowFunction="sum" dataDxfId="1587" totalsRowDxfId="44" dataCellStyle="Comma">
      <calculatedColumnFormula>G59-H59</calculatedColumnFormula>
    </tableColumn>
  </tableColumns>
  <tableStyleInfo name="V42_ExpenseTable" showFirstColumn="0" showLastColumn="1" showRowStripes="0" showColumnStripes="0"/>
</table>
</file>

<file path=xl/tables/table3.xml><?xml version="1.0" encoding="utf-8"?>
<table xmlns="http://schemas.openxmlformats.org/spreadsheetml/2006/main" id="6" name="Table6" displayName="Table6" ref="F10:I20" totalsRowCount="1" headerRowDxfId="1795" dataDxfId="1793" headerRowBorderDxfId="1794" tableBorderDxfId="1792">
  <tableColumns count="4">
    <tableColumn id="1" name="DAILY LIVING" totalsRowFunction="custom" dataDxfId="1791" totalsRowDxfId="147">
      <totalsRowFormula>"Total " &amp; Table6[[#Headers],[DAILY LIVING]]</totalsRowFormula>
    </tableColumn>
    <tableColumn id="2" name="Budget" totalsRowFunction="sum" dataDxfId="1790" totalsRowDxfId="146" dataCellStyle="Comma"/>
    <tableColumn id="3" name="Actual" totalsRowLabel="0.00" dataDxfId="1789" totalsRowDxfId="145" dataCellStyle="Comma"/>
    <tableColumn id="4" name="Difference" totalsRowFunction="sum" dataDxfId="1788" totalsRowDxfId="144" dataCellStyle="Comma">
      <calculatedColumnFormula>G11-H11</calculatedColumnFormula>
    </tableColumn>
  </tableColumns>
  <tableStyleInfo name="V42_ExpenseTable" showFirstColumn="0" showLastColumn="1" showRowStripes="0" showColumnStripes="0"/>
</table>
</file>

<file path=xl/tables/table30.xml><?xml version="1.0" encoding="utf-8"?>
<table xmlns="http://schemas.openxmlformats.org/spreadsheetml/2006/main" id="151" name="Table15152" displayName="Table15152" ref="A58:D63" totalsRowCount="1" headerRowDxfId="1586" dataDxfId="1584" headerRowBorderDxfId="1585" tableBorderDxfId="1583">
  <tableColumns count="4">
    <tableColumn id="1" name="SUBSCRIPTIONS" totalsRowFunction="custom" dataDxfId="1582" totalsRowDxfId="51">
      <totalsRowFormula>"Total " &amp; Table15152[[#Headers],[SUBSCRIPTIONS]]</totalsRowFormula>
    </tableColumn>
    <tableColumn id="2" name="Budget" totalsRowFunction="sum" dataDxfId="1581" totalsRowDxfId="50" dataCellStyle="Comma"/>
    <tableColumn id="3" name="Actual" totalsRowFunction="sum" dataDxfId="1580" totalsRowDxfId="49" dataCellStyle="Comma"/>
    <tableColumn id="4" name="Difference" totalsRowFunction="sum" dataDxfId="1579" totalsRowDxfId="48" dataCellStyle="Comma">
      <calculatedColumnFormula>B59-C59</calculatedColumnFormula>
    </tableColumn>
  </tableColumns>
  <tableStyleInfo name="V42_ExpenseTable" showFirstColumn="0" showLastColumn="1" showRowStripes="0" showColumnStripes="0"/>
</table>
</file>

<file path=xl/tables/table31.xml><?xml version="1.0" encoding="utf-8"?>
<table xmlns="http://schemas.openxmlformats.org/spreadsheetml/2006/main" id="152" name="Table19153" displayName="Table19153" ref="A51:D56" totalsRowCount="1" headerRowDxfId="1578" dataDxfId="1576" headerRowBorderDxfId="1577" tableBorderDxfId="1575">
  <tableColumns count="4">
    <tableColumn id="1" name="CHARITY/GIFTS" totalsRowFunction="custom" dataDxfId="1574" totalsRowDxfId="55">
      <totalsRowFormula>"Total " &amp; Table19153[[#Headers],[CHARITY/GIFTS]]</totalsRowFormula>
    </tableColumn>
    <tableColumn id="2" name="Budget" totalsRowFunction="sum" dataDxfId="1573" totalsRowDxfId="54" dataCellStyle="Comma"/>
    <tableColumn id="3" name="Actual" totalsRowFunction="sum" dataDxfId="1572" totalsRowDxfId="53" dataCellStyle="Comma"/>
    <tableColumn id="4" name="Difference" totalsRowFunction="sum" dataDxfId="1571" totalsRowDxfId="52" dataCellStyle="Comma">
      <calculatedColumnFormula>B52-C52</calculatedColumnFormula>
    </tableColumn>
  </tableColumns>
  <tableStyleInfo name="V42_ExpenseTable" showFirstColumn="0" showLastColumn="1" showRowStripes="0" showColumnStripes="0"/>
</table>
</file>

<file path=xl/tables/table32.xml><?xml version="1.0" encoding="utf-8"?>
<table xmlns="http://schemas.openxmlformats.org/spreadsheetml/2006/main" id="153" name="Table20154" displayName="Table20154" ref="A31:D39" totalsRowCount="1" headerRowDxfId="1570" dataDxfId="1568" headerRowBorderDxfId="1569" tableBorderDxfId="1567">
  <tableColumns count="4">
    <tableColumn id="1" name="TRANSPORTATION" totalsRowFunction="custom" dataDxfId="1566" totalsRowDxfId="63">
      <totalsRowFormula>"Total " &amp; Table20154[[#Headers],[TRANSPORTATION]]</totalsRowFormula>
    </tableColumn>
    <tableColumn id="2" name="Budget" totalsRowLabel="0.00" dataDxfId="1565" totalsRowDxfId="62" dataCellStyle="Comma"/>
    <tableColumn id="3" name="Actual" totalsRowFunction="sum" dataDxfId="1564" totalsRowDxfId="61" dataCellStyle="Comma"/>
    <tableColumn id="4" name="Difference" totalsRowFunction="sum" dataDxfId="1563" totalsRowDxfId="60" dataCellStyle="Comma">
      <calculatedColumnFormula>B32-C32</calculatedColumnFormula>
    </tableColumn>
  </tableColumns>
  <tableStyleInfo name="V42_ExpenseTable" showFirstColumn="0" showLastColumn="1" showRowStripes="0" showColumnStripes="0"/>
</table>
</file>

<file path=xl/tables/table33.xml><?xml version="1.0" encoding="utf-8"?>
<table xmlns="http://schemas.openxmlformats.org/spreadsheetml/2006/main" id="154" name="Table21155" displayName="Table21155" ref="A41:D49" totalsRowCount="1" headerRowDxfId="1562" dataDxfId="1560" headerRowBorderDxfId="1561" tableBorderDxfId="1559">
  <tableColumns count="4">
    <tableColumn id="1" name="HEALTH" totalsRowFunction="custom" dataDxfId="1558" totalsRowDxfId="59">
      <totalsRowFormula>"Total " &amp; Table21155[[#Headers],[HEALTH]]</totalsRowFormula>
    </tableColumn>
    <tableColumn id="2" name="Budget" totalsRowFunction="sum" dataDxfId="1557" totalsRowDxfId="58" dataCellStyle="Comma"/>
    <tableColumn id="3" name="Actual" totalsRowFunction="sum" dataDxfId="1556" totalsRowDxfId="57" dataCellStyle="Comma"/>
    <tableColumn id="4" name="Difference" totalsRowFunction="sum" dataDxfId="1555" totalsRowDxfId="56" dataCellStyle="Comma">
      <calculatedColumnFormula>B42-C42</calculatedColumnFormula>
    </tableColumn>
  </tableColumns>
  <tableStyleInfo name="V42_ExpenseTable" showFirstColumn="0" showLastColumn="1" showRowStripes="0" showColumnStripes="0"/>
</table>
</file>

<file path=xl/tables/table34.xml><?xml version="1.0" encoding="utf-8"?>
<table xmlns="http://schemas.openxmlformats.org/spreadsheetml/2006/main" id="155" name="Table2157" displayName="Table2157" ref="A4:D13" totalsRowCount="1" headerRowDxfId="1552" dataDxfId="1550" headerRowBorderDxfId="1551" tableBorderDxfId="1549">
  <tableColumns count="4">
    <tableColumn id="1" name="INCOME" totalsRowFunction="custom" totalsRowDxfId="27">
      <totalsRowFormula>"Total " &amp; Table2157[[#Headers],[INCOME]]</totalsRowFormula>
    </tableColumn>
    <tableColumn id="2" name="Budget" totalsRowFunction="sum" totalsRowDxfId="26" dataCellStyle="Comma"/>
    <tableColumn id="3" name="Actual" totalsRowFunction="sum" totalsRowDxfId="25" dataCellStyle="Comma"/>
    <tableColumn id="4" name="Difference" totalsRowFunction="sum" totalsRowDxfId="24" dataCellStyle="Comma">
      <calculatedColumnFormula>C5-B5</calculatedColumnFormula>
    </tableColumn>
  </tableColumns>
  <tableStyleInfo name="V42_IncomeTable" showFirstColumn="0" showLastColumn="1" showRowStripes="0" showColumnStripes="0"/>
</table>
</file>

<file path=xl/tables/table35.xml><?xml version="1.0" encoding="utf-8"?>
<table xmlns="http://schemas.openxmlformats.org/spreadsheetml/2006/main" id="156" name="Table5157" displayName="Table5157" ref="A15:D29" totalsRowCount="1" headerRowDxfId="1548" dataDxfId="1546" headerRowBorderDxfId="1547" tableBorderDxfId="1545">
  <tableColumns count="4">
    <tableColumn id="1" name="HOME EXPENSES" totalsRowFunction="custom" dataDxfId="1544" totalsRowDxfId="19">
      <totalsRowFormula>"Total " &amp; Table5157[[#Headers],[HOME EXPENSES]]</totalsRowFormula>
    </tableColumn>
    <tableColumn id="2" name="Budget" totalsRowFunction="sum" dataDxfId="1543" totalsRowDxfId="18" dataCellStyle="Comma"/>
    <tableColumn id="3" name="Actual" totalsRowFunction="sum" dataDxfId="1542" totalsRowDxfId="17" dataCellStyle="Comma"/>
    <tableColumn id="4" name="Difference" totalsRowFunction="sum" dataDxfId="1541" totalsRowDxfId="16" dataCellStyle="Comma">
      <calculatedColumnFormula>B16-C16</calculatedColumnFormula>
    </tableColumn>
  </tableColumns>
  <tableStyleInfo name="V42_ExpenseTable" showFirstColumn="0" showLastColumn="1" showRowStripes="0" showColumnStripes="0"/>
</table>
</file>

<file path=xl/tables/table36.xml><?xml version="1.0" encoding="utf-8"?>
<table xmlns="http://schemas.openxmlformats.org/spreadsheetml/2006/main" id="157" name="Table6158" displayName="Table6158" ref="F10:I20" totalsRowCount="1" headerRowDxfId="1540" dataDxfId="1538" headerRowBorderDxfId="1539" tableBorderDxfId="1537">
  <tableColumns count="4">
    <tableColumn id="1" name="DAILY LIVING" totalsRowFunction="custom" dataDxfId="1536" totalsRowDxfId="23">
      <totalsRowFormula>"Total " &amp; Table6158[[#Headers],[DAILY LIVING]]</totalsRowFormula>
    </tableColumn>
    <tableColumn id="2" name="Budget" totalsRowFunction="sum" dataDxfId="1535" totalsRowDxfId="22" dataCellStyle="Comma"/>
    <tableColumn id="3" name="Actual" totalsRowFunction="sum" dataDxfId="1534" totalsRowDxfId="21" dataCellStyle="Comma"/>
    <tableColumn id="4" name="Difference" totalsRowFunction="sum" dataDxfId="1533" totalsRowDxfId="20" dataCellStyle="Comma">
      <calculatedColumnFormula>G11-H11</calculatedColumnFormula>
    </tableColumn>
  </tableColumns>
  <tableStyleInfo name="V42_ExpenseTable" showFirstColumn="0" showLastColumn="1" showRowStripes="0" showColumnStripes="0"/>
</table>
</file>

<file path=xl/tables/table37.xml><?xml version="1.0" encoding="utf-8"?>
<table xmlns="http://schemas.openxmlformats.org/spreadsheetml/2006/main" id="158" name="Table7159" displayName="Table7159" ref="F22:I37" totalsRowCount="1" headerRowDxfId="1532" dataDxfId="1530" headerRowBorderDxfId="1531" tableBorderDxfId="1529">
  <tableColumns count="4">
    <tableColumn id="1" name="Entertainment" totalsRowFunction="custom" dataDxfId="1528" totalsRowDxfId="1527">
      <totalsRowFormula>"Total " &amp; Table7159[[#Headers],[Entertainment]]</totalsRowFormula>
    </tableColumn>
    <tableColumn id="2" name="Budget" totalsRowFunction="sum" dataDxfId="1526" totalsRowDxfId="1525" dataCellStyle="Comma"/>
    <tableColumn id="3" name="Actual" totalsRowFunction="sum" dataDxfId="1524" totalsRowDxfId="1523" dataCellStyle="Comma"/>
    <tableColumn id="4" name="Difference" totalsRowFunction="sum" dataDxfId="1522" totalsRowDxfId="1521" dataCellStyle="Comma">
      <calculatedColumnFormula>G23-H23</calculatedColumnFormula>
    </tableColumn>
  </tableColumns>
  <tableStyleInfo name="V42_ExpenseTable" showFirstColumn="0" showLastColumn="1" showRowStripes="0" showColumnStripes="0"/>
</table>
</file>

<file path=xl/tables/table38.xml><?xml version="1.0" encoding="utf-8"?>
<table xmlns="http://schemas.openxmlformats.org/spreadsheetml/2006/main" id="159" name="Table8160" displayName="Table8160" ref="F39:I46" totalsRowCount="1" headerRowDxfId="1520" dataDxfId="1518" headerRowBorderDxfId="1519" tableBorderDxfId="1517">
  <tableColumns count="4">
    <tableColumn id="1" name="SAVINGS" totalsRowFunction="custom" dataDxfId="1516" totalsRowDxfId="11">
      <totalsRowFormula>"Total " &amp; Table8160[[#Headers],[SAVINGS]]</totalsRowFormula>
    </tableColumn>
    <tableColumn id="2" name="Budget" totalsRowFunction="sum" dataDxfId="1515" totalsRowDxfId="10"/>
    <tableColumn id="3" name="Actual" totalsRowFunction="sum" dataDxfId="1514" totalsRowDxfId="9"/>
    <tableColumn id="4" name="Difference" totalsRowFunction="sum" dataDxfId="1513" totalsRowDxfId="8" dataCellStyle="Comma">
      <calculatedColumnFormula>G40-H40</calculatedColumnFormula>
    </tableColumn>
  </tableColumns>
  <tableStyleInfo name="V42_ExpenseTable" showFirstColumn="0" showLastColumn="1" showRowStripes="0" showColumnStripes="0"/>
</table>
</file>

<file path=xl/tables/table39.xml><?xml version="1.0" encoding="utf-8"?>
<table xmlns="http://schemas.openxmlformats.org/spreadsheetml/2006/main" id="160" name="Table10161" displayName="Table10161" ref="F48:I56" totalsRowCount="1" headerRowDxfId="1512" dataDxfId="1510" headerRowBorderDxfId="1511">
  <tableColumns count="4">
    <tableColumn id="1" name="OBLIGATIONS" totalsRowFunction="custom" dataDxfId="1509" totalsRowDxfId="7">
      <totalsRowFormula>"Total " &amp; Table10161[[#Headers],[OBLIGATIONS]]</totalsRowFormula>
    </tableColumn>
    <tableColumn id="2" name="Budget" totalsRowFunction="sum" dataDxfId="1508" totalsRowDxfId="6" dataCellStyle="Comma"/>
    <tableColumn id="3" name="Actual" totalsRowFunction="sum" dataDxfId="1507" totalsRowDxfId="5" dataCellStyle="Comma"/>
    <tableColumn id="4" name="Difference" totalsRowFunction="sum" dataDxfId="1506" totalsRowDxfId="4" dataCellStyle="Comma">
      <calculatedColumnFormula>G49-H49</calculatedColumnFormula>
    </tableColumn>
  </tableColumns>
  <tableStyleInfo name="V42_ExpenseTable" showFirstColumn="0" showLastColumn="1" showRowStripes="0" showColumnStripes="0"/>
</table>
</file>

<file path=xl/tables/table4.xml><?xml version="1.0" encoding="utf-8"?>
<table xmlns="http://schemas.openxmlformats.org/spreadsheetml/2006/main" id="7" name="Table7" displayName="Table7" ref="F22:I37" totalsRowCount="1" headerRowDxfId="1787" dataDxfId="1785" headerRowBorderDxfId="1786" tableBorderDxfId="1784">
  <tableColumns count="4">
    <tableColumn id="1" name="Entertainment" totalsRowFunction="custom" dataDxfId="1783" totalsRowDxfId="143">
      <totalsRowFormula>"Total " &amp; Table7[[#Headers],[Entertainment]]</totalsRowFormula>
    </tableColumn>
    <tableColumn id="2" name="Budget" totalsRowFunction="sum" dataDxfId="1782" totalsRowDxfId="142" dataCellStyle="Comma"/>
    <tableColumn id="3" name="Actual" totalsRowFunction="sum" dataDxfId="1781" totalsRowDxfId="141" dataCellStyle="Comma"/>
    <tableColumn id="4" name="Difference" totalsRowFunction="sum" dataDxfId="1780" totalsRowDxfId="140" dataCellStyle="Comma">
      <calculatedColumnFormula>G23-H23</calculatedColumnFormula>
    </tableColumn>
  </tableColumns>
  <tableStyleInfo name="V42_ExpenseTable" showFirstColumn="0" showLastColumn="1" showRowStripes="0" showColumnStripes="0"/>
</table>
</file>

<file path=xl/tables/table40.xml><?xml version="1.0" encoding="utf-8"?>
<table xmlns="http://schemas.openxmlformats.org/spreadsheetml/2006/main" id="161" name="Table14162" displayName="Table14162" ref="F58:I63" totalsRowCount="1" headerRowDxfId="1505" dataDxfId="1503" headerRowBorderDxfId="1504" tableBorderDxfId="1502">
  <tableColumns count="4">
    <tableColumn id="1" name="MISCELLANEOUS" totalsRowFunction="custom" dataDxfId="1501" totalsRowDxfId="1500">
      <totalsRowFormula>"Total " &amp; Table14162[[#Headers],[MISCELLANEOUS]]</totalsRowFormula>
    </tableColumn>
    <tableColumn id="2" name="Budget" totalsRowFunction="sum" dataDxfId="1499" totalsRowDxfId="1498" dataCellStyle="Comma"/>
    <tableColumn id="3" name="Actual" totalsRowFunction="sum" dataDxfId="1497" totalsRowDxfId="1496" dataCellStyle="Comma"/>
    <tableColumn id="4" name="Difference" totalsRowFunction="sum" dataDxfId="1495" totalsRowDxfId="1494" dataCellStyle="Comma">
      <calculatedColumnFormula>G59-H59</calculatedColumnFormula>
    </tableColumn>
  </tableColumns>
  <tableStyleInfo name="V42_ExpenseTable" showFirstColumn="0" showLastColumn="1" showRowStripes="0" showColumnStripes="0"/>
</table>
</file>

<file path=xl/tables/table41.xml><?xml version="1.0" encoding="utf-8"?>
<table xmlns="http://schemas.openxmlformats.org/spreadsheetml/2006/main" id="162" name="Table15163" displayName="Table15163" ref="A58:D63" totalsRowCount="1" headerRowDxfId="1493" dataDxfId="1491" headerRowBorderDxfId="1492" tableBorderDxfId="1490">
  <tableColumns count="4">
    <tableColumn id="1" name="SUBSCRIPTIONS" totalsRowFunction="custom" dataDxfId="1489" totalsRowDxfId="1488">
      <totalsRowFormula>"Total " &amp; Table15163[[#Headers],[SUBSCRIPTIONS]]</totalsRowFormula>
    </tableColumn>
    <tableColumn id="2" name="Budget" totalsRowFunction="sum" dataDxfId="1487" totalsRowDxfId="1486" dataCellStyle="Comma"/>
    <tableColumn id="3" name="Actual" totalsRowFunction="sum" dataDxfId="1485" totalsRowDxfId="1484" dataCellStyle="Comma"/>
    <tableColumn id="4" name="Difference" totalsRowFunction="sum" dataDxfId="1483" totalsRowDxfId="1482" dataCellStyle="Comma">
      <calculatedColumnFormula>B59-C59</calculatedColumnFormula>
    </tableColumn>
  </tableColumns>
  <tableStyleInfo name="V42_ExpenseTable" showFirstColumn="0" showLastColumn="1" showRowStripes="0" showColumnStripes="0"/>
</table>
</file>

<file path=xl/tables/table42.xml><?xml version="1.0" encoding="utf-8"?>
<table xmlns="http://schemas.openxmlformats.org/spreadsheetml/2006/main" id="163" name="Table19164" displayName="Table19164" ref="A51:D56" totalsRowCount="1" headerRowDxfId="1481" dataDxfId="1479" headerRowBorderDxfId="1480" tableBorderDxfId="1478">
  <tableColumns count="4">
    <tableColumn id="1" name="CHARITY/GIFTS" totalsRowFunction="custom" dataDxfId="1477" totalsRowDxfId="3">
      <totalsRowFormula>"Total " &amp; Table19164[[#Headers],[CHARITY/GIFTS]]</totalsRowFormula>
    </tableColumn>
    <tableColumn id="2" name="Budget" totalsRowFunction="sum" dataDxfId="1476" totalsRowDxfId="2" dataCellStyle="Comma"/>
    <tableColumn id="3" name="Actual" totalsRowFunction="sum" dataDxfId="1475" totalsRowDxfId="1" dataCellStyle="Comma"/>
    <tableColumn id="4" name="Difference" totalsRowFunction="sum" dataDxfId="1474" totalsRowDxfId="0" dataCellStyle="Comma">
      <calculatedColumnFormula>B52-C52</calculatedColumnFormula>
    </tableColumn>
  </tableColumns>
  <tableStyleInfo name="V42_ExpenseTable" showFirstColumn="0" showLastColumn="1" showRowStripes="0" showColumnStripes="0"/>
</table>
</file>

<file path=xl/tables/table43.xml><?xml version="1.0" encoding="utf-8"?>
<table xmlns="http://schemas.openxmlformats.org/spreadsheetml/2006/main" id="164" name="Table20165" displayName="Table20165" ref="A31:D39" totalsRowCount="1" headerRowDxfId="1473" dataDxfId="1471" headerRowBorderDxfId="1472" tableBorderDxfId="1470">
  <tableColumns count="4">
    <tableColumn id="1" name="TRANSPORTATION" totalsRowFunction="custom" dataDxfId="1469" totalsRowDxfId="15">
      <totalsRowFormula>"Total " &amp; Table20165[[#Headers],[TRANSPORTATION]]</totalsRowFormula>
    </tableColumn>
    <tableColumn id="2" name="Budget" totalsRowFunction="sum" dataDxfId="1468" totalsRowDxfId="14" dataCellStyle="Comma"/>
    <tableColumn id="3" name="Actual" totalsRowFunction="sum" dataDxfId="1467" totalsRowDxfId="13" dataCellStyle="Comma"/>
    <tableColumn id="4" name="Difference" totalsRowFunction="sum" dataDxfId="1466" totalsRowDxfId="12" dataCellStyle="Comma">
      <calculatedColumnFormula>B32-C32</calculatedColumnFormula>
    </tableColumn>
  </tableColumns>
  <tableStyleInfo name="V42_ExpenseTable" showFirstColumn="0" showLastColumn="1" showRowStripes="0" showColumnStripes="0"/>
</table>
</file>

<file path=xl/tables/table44.xml><?xml version="1.0" encoding="utf-8"?>
<table xmlns="http://schemas.openxmlformats.org/spreadsheetml/2006/main" id="165" name="Table21166" displayName="Table21166" ref="A41:D49" totalsRowCount="1" headerRowDxfId="1465" dataDxfId="1463" headerRowBorderDxfId="1464" tableBorderDxfId="1462">
  <tableColumns count="4">
    <tableColumn id="1" name="HEALTH" totalsRowFunction="custom" dataDxfId="1461" totalsRowDxfId="1460">
      <totalsRowFormula>"Total " &amp; Table21166[[#Headers],[HEALTH]]</totalsRowFormula>
    </tableColumn>
    <tableColumn id="2" name="Budget" totalsRowFunction="sum" dataDxfId="1459" totalsRowDxfId="1458" dataCellStyle="Comma"/>
    <tableColumn id="3" name="Actual" totalsRowFunction="sum" dataDxfId="1457" totalsRowDxfId="1456" dataCellStyle="Comma"/>
    <tableColumn id="4" name="Difference" totalsRowFunction="sum" dataDxfId="1455" totalsRowDxfId="1454" dataCellStyle="Comma">
      <calculatedColumnFormula>B42-C42</calculatedColumnFormula>
    </tableColumn>
  </tableColumns>
  <tableStyleInfo name="V42_ExpenseTable" showFirstColumn="0" showLastColumn="1" showRowStripes="0" showColumnStripes="0"/>
</table>
</file>

<file path=xl/tables/table45.xml><?xml version="1.0" encoding="utf-8"?>
<table xmlns="http://schemas.openxmlformats.org/spreadsheetml/2006/main" id="254" name="Table2255" displayName="Table2255" ref="A4:D13" totalsRowCount="1" headerRowDxfId="1451" dataDxfId="1449" headerRowBorderDxfId="1450" tableBorderDxfId="1448">
  <tableColumns count="4">
    <tableColumn id="1" name="INCOME" totalsRowFunction="custom" totalsRowDxfId="1447">
      <totalsRowFormula>"Total " &amp; Table2255[[#Headers],[INCOME]]</totalsRowFormula>
    </tableColumn>
    <tableColumn id="2" name="Budget" totalsRowFunction="sum" totalsRowDxfId="1446" dataCellStyle="Comma"/>
    <tableColumn id="3" name="Actual" totalsRowFunction="sum" totalsRowDxfId="1445" dataCellStyle="Comma"/>
    <tableColumn id="4" name="Difference" totalsRowFunction="sum" totalsRowDxfId="1444" dataCellStyle="Comma">
      <calculatedColumnFormula>C5-B5</calculatedColumnFormula>
    </tableColumn>
  </tableColumns>
  <tableStyleInfo name="V42_IncomeTable" showFirstColumn="0" showLastColumn="1" showRowStripes="0" showColumnStripes="0"/>
</table>
</file>

<file path=xl/tables/table46.xml><?xml version="1.0" encoding="utf-8"?>
<table xmlns="http://schemas.openxmlformats.org/spreadsheetml/2006/main" id="255" name="Table5256" displayName="Table5256" ref="A15:D29" totalsRowCount="1" headerRowDxfId="1443" dataDxfId="1441" headerRowBorderDxfId="1442" tableBorderDxfId="1440">
  <tableColumns count="4">
    <tableColumn id="1" name="HOME EXPENSES" totalsRowFunction="custom" dataDxfId="1439" totalsRowDxfId="1438">
      <totalsRowFormula>"Total " &amp; Table5256[[#Headers],[HOME EXPENSES]]</totalsRowFormula>
    </tableColumn>
    <tableColumn id="2" name="Budget" totalsRowFunction="sum" dataDxfId="1437" totalsRowDxfId="1436" dataCellStyle="Comma"/>
    <tableColumn id="3" name="Actual" totalsRowFunction="sum" dataDxfId="1435" totalsRowDxfId="1434" dataCellStyle="Comma"/>
    <tableColumn id="4" name="Difference" totalsRowFunction="sum" dataDxfId="1433" totalsRowDxfId="1432" dataCellStyle="Comma">
      <calculatedColumnFormula>B16-C16</calculatedColumnFormula>
    </tableColumn>
  </tableColumns>
  <tableStyleInfo name="V42_ExpenseTable" showFirstColumn="0" showLastColumn="1" showRowStripes="0" showColumnStripes="0"/>
</table>
</file>

<file path=xl/tables/table47.xml><?xml version="1.0" encoding="utf-8"?>
<table xmlns="http://schemas.openxmlformats.org/spreadsheetml/2006/main" id="256" name="Table6257" displayName="Table6257" ref="F10:I20" totalsRowCount="1" headerRowDxfId="1431" dataDxfId="1429" headerRowBorderDxfId="1430" tableBorderDxfId="1428">
  <tableColumns count="4">
    <tableColumn id="1" name="DAILY LIVING" totalsRowFunction="custom" dataDxfId="1427" totalsRowDxfId="1426">
      <totalsRowFormula>"Total " &amp; Table6257[[#Headers],[DAILY LIVING]]</totalsRowFormula>
    </tableColumn>
    <tableColumn id="2" name="Budget" totalsRowFunction="sum" dataDxfId="1425" totalsRowDxfId="1424" dataCellStyle="Comma"/>
    <tableColumn id="3" name="Actual" totalsRowFunction="sum" dataDxfId="1423" totalsRowDxfId="1422" dataCellStyle="Comma"/>
    <tableColumn id="4" name="Difference" totalsRowFunction="sum" dataDxfId="1421" totalsRowDxfId="1420" dataCellStyle="Comma">
      <calculatedColumnFormula>G11-H11</calculatedColumnFormula>
    </tableColumn>
  </tableColumns>
  <tableStyleInfo name="V42_ExpenseTable" showFirstColumn="0" showLastColumn="1" showRowStripes="0" showColumnStripes="0"/>
</table>
</file>

<file path=xl/tables/table48.xml><?xml version="1.0" encoding="utf-8"?>
<table xmlns="http://schemas.openxmlformats.org/spreadsheetml/2006/main" id="257" name="Table7258" displayName="Table7258" ref="F22:I37" totalsRowCount="1" headerRowDxfId="1419" dataDxfId="1417" headerRowBorderDxfId="1418" tableBorderDxfId="1416">
  <tableColumns count="4">
    <tableColumn id="1" name="ENTERTAINMENT" totalsRowFunction="custom" dataDxfId="1415" totalsRowDxfId="1414">
      <totalsRowFormula>"Total " &amp; Table7258[[#Headers],[ENTERTAINMENT]]</totalsRowFormula>
    </tableColumn>
    <tableColumn id="2" name="Budget" totalsRowFunction="sum" dataDxfId="1413" totalsRowDxfId="1412" dataCellStyle="Comma"/>
    <tableColumn id="3" name="Actual" totalsRowFunction="sum" dataDxfId="1411" totalsRowDxfId="1410" dataCellStyle="Comma"/>
    <tableColumn id="4" name="Difference" totalsRowFunction="sum" dataDxfId="1409" totalsRowDxfId="1408" dataCellStyle="Comma">
      <calculatedColumnFormula>G23-H23</calculatedColumnFormula>
    </tableColumn>
  </tableColumns>
  <tableStyleInfo name="V42_ExpenseTable" showFirstColumn="0" showLastColumn="1" showRowStripes="0" showColumnStripes="0"/>
</table>
</file>

<file path=xl/tables/table49.xml><?xml version="1.0" encoding="utf-8"?>
<table xmlns="http://schemas.openxmlformats.org/spreadsheetml/2006/main" id="258" name="Table8259" displayName="Table8259" ref="F39:I46" totalsRowCount="1" headerRowDxfId="1407" dataDxfId="1405" headerRowBorderDxfId="1406" tableBorderDxfId="1404">
  <tableColumns count="4">
    <tableColumn id="1" name="SAVINGS" totalsRowFunction="custom" dataDxfId="1403" totalsRowDxfId="1402">
      <totalsRowFormula>"Total " &amp; Table8259[[#Headers],[SAVINGS]]</totalsRowFormula>
    </tableColumn>
    <tableColumn id="2" name="Budget" totalsRowFunction="sum" dataDxfId="1401" totalsRowDxfId="1400"/>
    <tableColumn id="3" name="Actual" totalsRowFunction="sum" dataDxfId="1399" totalsRowDxfId="1398"/>
    <tableColumn id="4" name="Difference" totalsRowFunction="sum" dataDxfId="1397" totalsRowDxfId="1396" dataCellStyle="Comma">
      <calculatedColumnFormula>G40-H40</calculatedColumnFormula>
    </tableColumn>
  </tableColumns>
  <tableStyleInfo name="V42_ExpenseTable" showFirstColumn="0" showLastColumn="1" showRowStripes="0" showColumnStripes="0"/>
</table>
</file>

<file path=xl/tables/table5.xml><?xml version="1.0" encoding="utf-8"?>
<table xmlns="http://schemas.openxmlformats.org/spreadsheetml/2006/main" id="8" name="Table8" displayName="Table8" ref="F39:I46" totalsRowCount="1" headerRowDxfId="1779" dataDxfId="1777" headerRowBorderDxfId="1778" tableBorderDxfId="1776">
  <tableColumns count="4">
    <tableColumn id="1" name="SAVINGS" totalsRowFunction="custom" dataDxfId="1775" totalsRowDxfId="139">
      <totalsRowFormula>"Total " &amp; Table8[[#Headers],[SAVINGS]]</totalsRowFormula>
    </tableColumn>
    <tableColumn id="2" name="Budget" totalsRowFunction="sum" dataDxfId="1774" totalsRowDxfId="138"/>
    <tableColumn id="3" name="Actual" totalsRowFunction="sum" dataDxfId="1773" totalsRowDxfId="137"/>
    <tableColumn id="4" name="Difference" totalsRowFunction="sum" dataDxfId="1772" totalsRowDxfId="136" dataCellStyle="Comma">
      <calculatedColumnFormula>G40-H40</calculatedColumnFormula>
    </tableColumn>
  </tableColumns>
  <tableStyleInfo name="V42_ExpenseTable" showFirstColumn="0" showLastColumn="1" showRowStripes="0" showColumnStripes="0"/>
</table>
</file>

<file path=xl/tables/table50.xml><?xml version="1.0" encoding="utf-8"?>
<table xmlns="http://schemas.openxmlformats.org/spreadsheetml/2006/main" id="259" name="Table10260" displayName="Table10260" ref="F48:I56" totalsRowCount="1" headerRowDxfId="1395" dataDxfId="1393" headerRowBorderDxfId="1394">
  <tableColumns count="4">
    <tableColumn id="1" name="OBLIGATIONS" totalsRowFunction="custom" dataDxfId="1392" totalsRowDxfId="1391">
      <totalsRowFormula>"Total " &amp; Table10260[[#Headers],[OBLIGATIONS]]</totalsRowFormula>
    </tableColumn>
    <tableColumn id="2" name="Budget" totalsRowFunction="sum" dataDxfId="1390" totalsRowDxfId="1389" dataCellStyle="Comma"/>
    <tableColumn id="3" name="Actual" totalsRowFunction="sum" dataDxfId="1388" totalsRowDxfId="1387" dataCellStyle="Comma"/>
    <tableColumn id="4" name="Difference" totalsRowFunction="sum" dataDxfId="1386" totalsRowDxfId="1385" dataCellStyle="Comma">
      <calculatedColumnFormula>G49-H49</calculatedColumnFormula>
    </tableColumn>
  </tableColumns>
  <tableStyleInfo name="V42_ExpenseTable" showFirstColumn="0" showLastColumn="1" showRowStripes="0" showColumnStripes="0"/>
</table>
</file>

<file path=xl/tables/table51.xml><?xml version="1.0" encoding="utf-8"?>
<table xmlns="http://schemas.openxmlformats.org/spreadsheetml/2006/main" id="260" name="Table14261" displayName="Table14261" ref="F58:I63" totalsRowCount="1" headerRowDxfId="1384" dataDxfId="1382" headerRowBorderDxfId="1383" tableBorderDxfId="1381">
  <tableColumns count="4">
    <tableColumn id="1" name="MISCELLANEOUS" totalsRowFunction="custom" dataDxfId="1380" totalsRowDxfId="1379">
      <totalsRowFormula>"Total " &amp; Table14261[[#Headers],[MISCELLANEOUS]]</totalsRowFormula>
    </tableColumn>
    <tableColumn id="2" name="Budget" totalsRowFunction="sum" dataDxfId="1378" totalsRowDxfId="1377" dataCellStyle="Comma"/>
    <tableColumn id="3" name="Actual" totalsRowFunction="sum" dataDxfId="1376" totalsRowDxfId="1375" dataCellStyle="Comma"/>
    <tableColumn id="4" name="Difference" totalsRowFunction="sum" dataDxfId="1374" totalsRowDxfId="1373" dataCellStyle="Comma">
      <calculatedColumnFormula>G59-H59</calculatedColumnFormula>
    </tableColumn>
  </tableColumns>
  <tableStyleInfo name="V42_ExpenseTable" showFirstColumn="0" showLastColumn="1" showRowStripes="0" showColumnStripes="0"/>
</table>
</file>

<file path=xl/tables/table52.xml><?xml version="1.0" encoding="utf-8"?>
<table xmlns="http://schemas.openxmlformats.org/spreadsheetml/2006/main" id="261" name="Table15262" displayName="Table15262" ref="A58:D63" totalsRowCount="1" headerRowDxfId="1372" dataDxfId="1370" headerRowBorderDxfId="1371" tableBorderDxfId="1369">
  <tableColumns count="4">
    <tableColumn id="1" name="SUBSCRIPTIONS" totalsRowFunction="custom" dataDxfId="1368" totalsRowDxfId="1367">
      <totalsRowFormula>"Total " &amp; Table15262[[#Headers],[SUBSCRIPTIONS]]</totalsRowFormula>
    </tableColumn>
    <tableColumn id="2" name="Budget" totalsRowFunction="sum" dataDxfId="1366" totalsRowDxfId="1365" dataCellStyle="Comma"/>
    <tableColumn id="3" name="Actual" totalsRowFunction="sum" dataDxfId="1364" totalsRowDxfId="1363" dataCellStyle="Comma"/>
    <tableColumn id="4" name="Difference" totalsRowFunction="sum" dataDxfId="1362" totalsRowDxfId="1361" dataCellStyle="Comma">
      <calculatedColumnFormula>B59-C59</calculatedColumnFormula>
    </tableColumn>
  </tableColumns>
  <tableStyleInfo name="V42_ExpenseTable" showFirstColumn="0" showLastColumn="1" showRowStripes="0" showColumnStripes="0"/>
</table>
</file>

<file path=xl/tables/table53.xml><?xml version="1.0" encoding="utf-8"?>
<table xmlns="http://schemas.openxmlformats.org/spreadsheetml/2006/main" id="262" name="Table19263" displayName="Table19263" ref="A51:D56" totalsRowCount="1" headerRowDxfId="1360" dataDxfId="1358" headerRowBorderDxfId="1359" tableBorderDxfId="1357">
  <tableColumns count="4">
    <tableColumn id="1" name="CHARITY/GIFTS" totalsRowFunction="custom" dataDxfId="1356" totalsRowDxfId="1355">
      <totalsRowFormula>"Total " &amp; Table19263[[#Headers],[CHARITY/GIFTS]]</totalsRowFormula>
    </tableColumn>
    <tableColumn id="2" name="Budget" totalsRowFunction="sum" dataDxfId="1354" totalsRowDxfId="1353" dataCellStyle="Comma"/>
    <tableColumn id="3" name="Actual" totalsRowFunction="sum" dataDxfId="1352" totalsRowDxfId="1351" dataCellStyle="Comma"/>
    <tableColumn id="4" name="Difference" totalsRowFunction="sum" dataDxfId="1350" totalsRowDxfId="1349" dataCellStyle="Comma">
      <calculatedColumnFormula>B52-C52</calculatedColumnFormula>
    </tableColumn>
  </tableColumns>
  <tableStyleInfo name="V42_ExpenseTable" showFirstColumn="0" showLastColumn="1" showRowStripes="0" showColumnStripes="0"/>
</table>
</file>

<file path=xl/tables/table54.xml><?xml version="1.0" encoding="utf-8"?>
<table xmlns="http://schemas.openxmlformats.org/spreadsheetml/2006/main" id="263" name="Table20264" displayName="Table20264" ref="A31:D39" totalsRowCount="1" headerRowDxfId="1348" dataDxfId="1346" headerRowBorderDxfId="1347" tableBorderDxfId="1345">
  <tableColumns count="4">
    <tableColumn id="1" name="TRANSPORTATION" totalsRowFunction="custom" dataDxfId="1344" totalsRowDxfId="1343">
      <totalsRowFormula>"Total " &amp; Table20264[[#Headers],[TRANSPORTATION]]</totalsRowFormula>
    </tableColumn>
    <tableColumn id="2" name="Budget" totalsRowFunction="sum" dataDxfId="1342" totalsRowDxfId="1341" dataCellStyle="Comma"/>
    <tableColumn id="3" name="Actual" totalsRowFunction="sum" dataDxfId="1340" totalsRowDxfId="1339" dataCellStyle="Comma"/>
    <tableColumn id="4" name="Difference" totalsRowFunction="sum" dataDxfId="1338" totalsRowDxfId="1337" dataCellStyle="Comma">
      <calculatedColumnFormula>B32-C32</calculatedColumnFormula>
    </tableColumn>
  </tableColumns>
  <tableStyleInfo name="V42_ExpenseTable" showFirstColumn="0" showLastColumn="1" showRowStripes="0" showColumnStripes="0"/>
</table>
</file>

<file path=xl/tables/table55.xml><?xml version="1.0" encoding="utf-8"?>
<table xmlns="http://schemas.openxmlformats.org/spreadsheetml/2006/main" id="264" name="Table21265" displayName="Table21265" ref="A41:D49" totalsRowCount="1" headerRowDxfId="1336" dataDxfId="1334" headerRowBorderDxfId="1335" tableBorderDxfId="1333">
  <tableColumns count="4">
    <tableColumn id="1" name="HEALTH" totalsRowFunction="custom" dataDxfId="1332" totalsRowDxfId="1331">
      <totalsRowFormula>"Total " &amp; Table21265[[#Headers],[HEALTH]]</totalsRowFormula>
    </tableColumn>
    <tableColumn id="2" name="Budget" totalsRowFunction="sum" dataDxfId="1330" totalsRowDxfId="1329" dataCellStyle="Comma"/>
    <tableColumn id="3" name="Actual" totalsRowFunction="sum" dataDxfId="1328" totalsRowDxfId="1327" dataCellStyle="Comma"/>
    <tableColumn id="4" name="Difference" totalsRowFunction="sum" dataDxfId="1326" totalsRowDxfId="1325" dataCellStyle="Comma">
      <calculatedColumnFormula>B42-C42</calculatedColumnFormula>
    </tableColumn>
  </tableColumns>
  <tableStyleInfo name="V42_ExpenseTable" showFirstColumn="0" showLastColumn="1" showRowStripes="0" showColumnStripes="0"/>
</table>
</file>

<file path=xl/tables/table56.xml><?xml version="1.0" encoding="utf-8"?>
<table xmlns="http://schemas.openxmlformats.org/spreadsheetml/2006/main" id="56" name="Table257" displayName="Table257" ref="A4:D13" totalsRowCount="1" headerRowDxfId="1322" dataDxfId="1320" headerRowBorderDxfId="1321" tableBorderDxfId="1319">
  <tableColumns count="4">
    <tableColumn id="1" name="INCOME" totalsRowFunction="custom" totalsRowDxfId="1318">
      <totalsRowFormula>"Total " &amp; Table257[[#Headers],[INCOME]]</totalsRowFormula>
    </tableColumn>
    <tableColumn id="2" name="Budget" totalsRowFunction="sum" totalsRowDxfId="1317" dataCellStyle="Comma"/>
    <tableColumn id="3" name="Actual" totalsRowFunction="sum" totalsRowDxfId="1316" dataCellStyle="Comma"/>
    <tableColumn id="4" name="Difference" totalsRowFunction="sum" totalsRowDxfId="1315" dataCellStyle="Comma">
      <calculatedColumnFormula>C5-B5</calculatedColumnFormula>
    </tableColumn>
  </tableColumns>
  <tableStyleInfo name="V42_IncomeTable" showFirstColumn="0" showLastColumn="1" showRowStripes="0" showColumnStripes="0"/>
</table>
</file>

<file path=xl/tables/table57.xml><?xml version="1.0" encoding="utf-8"?>
<table xmlns="http://schemas.openxmlformats.org/spreadsheetml/2006/main" id="57" name="Table558" displayName="Table558" ref="A15:D29" totalsRowCount="1" headerRowDxfId="1314" dataDxfId="1312" headerRowBorderDxfId="1313" tableBorderDxfId="1311">
  <tableColumns count="4">
    <tableColumn id="1" name="HOME EXPENSES" totalsRowFunction="custom" dataDxfId="1310" totalsRowDxfId="1309">
      <totalsRowFormula>"Total " &amp; Table558[[#Headers],[HOME EXPENSES]]</totalsRowFormula>
    </tableColumn>
    <tableColumn id="2" name="Budget" totalsRowFunction="sum" dataDxfId="1308" totalsRowDxfId="1307" dataCellStyle="Comma"/>
    <tableColumn id="3" name="Actual" totalsRowFunction="sum" dataDxfId="1306" totalsRowDxfId="1305" dataCellStyle="Comma"/>
    <tableColumn id="4" name="Difference" totalsRowFunction="sum" dataDxfId="1304" totalsRowDxfId="1303" dataCellStyle="Comma">
      <calculatedColumnFormula>B16-C16</calculatedColumnFormula>
    </tableColumn>
  </tableColumns>
  <tableStyleInfo name="V42_ExpenseTable" showFirstColumn="0" showLastColumn="1" showRowStripes="0" showColumnStripes="0"/>
</table>
</file>

<file path=xl/tables/table58.xml><?xml version="1.0" encoding="utf-8"?>
<table xmlns="http://schemas.openxmlformats.org/spreadsheetml/2006/main" id="58" name="Table659" displayName="Table659" ref="F10:I20" totalsRowCount="1" headerRowDxfId="1302" dataDxfId="1300" headerRowBorderDxfId="1301" tableBorderDxfId="1299">
  <tableColumns count="4">
    <tableColumn id="1" name="DAILY LIVING" totalsRowFunction="custom" dataDxfId="1298" totalsRowDxfId="1297">
      <totalsRowFormula>"Total " &amp; Table659[[#Headers],[DAILY LIVING]]</totalsRowFormula>
    </tableColumn>
    <tableColumn id="2" name="Budget" totalsRowFunction="sum" dataDxfId="1296" totalsRowDxfId="1295" dataCellStyle="Comma"/>
    <tableColumn id="3" name="Actual" totalsRowFunction="sum" dataDxfId="1294" totalsRowDxfId="1293" dataCellStyle="Comma"/>
    <tableColumn id="4" name="Difference" totalsRowFunction="sum" dataDxfId="1292" totalsRowDxfId="1291" dataCellStyle="Comma">
      <calculatedColumnFormula>G11-H11</calculatedColumnFormula>
    </tableColumn>
  </tableColumns>
  <tableStyleInfo name="V42_ExpenseTable" showFirstColumn="0" showLastColumn="1" showRowStripes="0" showColumnStripes="0"/>
</table>
</file>

<file path=xl/tables/table59.xml><?xml version="1.0" encoding="utf-8"?>
<table xmlns="http://schemas.openxmlformats.org/spreadsheetml/2006/main" id="59" name="Table760" displayName="Table760" ref="F22:I37" totalsRowCount="1" headerRowDxfId="1290" dataDxfId="1288" headerRowBorderDxfId="1289" tableBorderDxfId="1287">
  <tableColumns count="4">
    <tableColumn id="1" name="Entertainment" totalsRowFunction="custom" dataDxfId="1286" totalsRowDxfId="1285">
      <totalsRowFormula>"Total " &amp; Table760[[#Headers],[Entertainment]]</totalsRowFormula>
    </tableColumn>
    <tableColumn id="2" name="Budget" totalsRowFunction="sum" dataDxfId="1284" totalsRowDxfId="1283" dataCellStyle="Comma"/>
    <tableColumn id="3" name="Actual" totalsRowFunction="sum" dataDxfId="1282" totalsRowDxfId="1281" dataCellStyle="Comma"/>
    <tableColumn id="4" name="Difference" totalsRowFunction="sum" dataDxfId="1280" totalsRowDxfId="1279" dataCellStyle="Comma">
      <calculatedColumnFormula>G23-H23</calculatedColumnFormula>
    </tableColumn>
  </tableColumns>
  <tableStyleInfo name="V42_ExpenseTable" showFirstColumn="0" showLastColumn="1" showRowStripes="0" showColumnStripes="0"/>
</table>
</file>

<file path=xl/tables/table6.xml><?xml version="1.0" encoding="utf-8"?>
<table xmlns="http://schemas.openxmlformats.org/spreadsheetml/2006/main" id="10" name="Table10" displayName="Table10" ref="F48:I56" totalsRowCount="1" headerRowDxfId="1771" dataDxfId="1769" headerRowBorderDxfId="1770">
  <tableColumns count="4">
    <tableColumn id="1" name="OBLIGATIONS" totalsRowFunction="custom" dataDxfId="1768" totalsRowDxfId="119">
      <totalsRowFormula>"Total " &amp; Table10[[#Headers],[OBLIGATIONS]]</totalsRowFormula>
    </tableColumn>
    <tableColumn id="2" name="Budget" totalsRowFunction="sum" dataDxfId="1767" totalsRowDxfId="118" dataCellStyle="Comma"/>
    <tableColumn id="3" name="Actual" totalsRowFunction="sum" dataDxfId="1766" totalsRowDxfId="117" dataCellStyle="Comma"/>
    <tableColumn id="4" name="Difference" totalsRowFunction="sum" dataDxfId="1765" totalsRowDxfId="116" dataCellStyle="Comma">
      <calculatedColumnFormula>G49-H49</calculatedColumnFormula>
    </tableColumn>
  </tableColumns>
  <tableStyleInfo name="V42_ExpenseTable" showFirstColumn="0" showLastColumn="1" showRowStripes="0" showColumnStripes="0"/>
</table>
</file>

<file path=xl/tables/table60.xml><?xml version="1.0" encoding="utf-8"?>
<table xmlns="http://schemas.openxmlformats.org/spreadsheetml/2006/main" id="60" name="Table861" displayName="Table861" ref="F39:I46" totalsRowCount="1" headerRowDxfId="1278" dataDxfId="1276" headerRowBorderDxfId="1277" tableBorderDxfId="1275">
  <tableColumns count="4">
    <tableColumn id="1" name="SAVINGS" totalsRowFunction="custom" dataDxfId="1274" totalsRowDxfId="1273">
      <totalsRowFormula>"Total " &amp; Table861[[#Headers],[SAVINGS]]</totalsRowFormula>
    </tableColumn>
    <tableColumn id="2" name="Budget" totalsRowFunction="sum" dataDxfId="1272" totalsRowDxfId="1271"/>
    <tableColumn id="3" name="Actual" totalsRowFunction="sum" dataDxfId="1270" totalsRowDxfId="1269"/>
    <tableColumn id="4" name="Difference" totalsRowFunction="sum" dataDxfId="1268" totalsRowDxfId="1267" dataCellStyle="Comma">
      <calculatedColumnFormula>G40-H40</calculatedColumnFormula>
    </tableColumn>
  </tableColumns>
  <tableStyleInfo name="V42_ExpenseTable" showFirstColumn="0" showLastColumn="1" showRowStripes="0" showColumnStripes="0"/>
</table>
</file>

<file path=xl/tables/table61.xml><?xml version="1.0" encoding="utf-8"?>
<table xmlns="http://schemas.openxmlformats.org/spreadsheetml/2006/main" id="61" name="Table1062" displayName="Table1062" ref="F48:I56" totalsRowCount="1" headerRowDxfId="1266" dataDxfId="1264" headerRowBorderDxfId="1265">
  <tableColumns count="4">
    <tableColumn id="1" name="OBLIGATIONS" totalsRowFunction="custom" dataDxfId="1263" totalsRowDxfId="1262">
      <totalsRowFormula>"Total " &amp; Table1062[[#Headers],[OBLIGATIONS]]</totalsRowFormula>
    </tableColumn>
    <tableColumn id="2" name="Budget" totalsRowFunction="sum" dataDxfId="1261" totalsRowDxfId="1260" dataCellStyle="Comma"/>
    <tableColumn id="3" name="Actual" totalsRowFunction="sum" dataDxfId="1259" totalsRowDxfId="1258" dataCellStyle="Comma"/>
    <tableColumn id="4" name="Difference" totalsRowFunction="sum" dataDxfId="1257" totalsRowDxfId="1256" dataCellStyle="Comma">
      <calculatedColumnFormula>G49-H49</calculatedColumnFormula>
    </tableColumn>
  </tableColumns>
  <tableStyleInfo name="V42_ExpenseTable" showFirstColumn="0" showLastColumn="1" showRowStripes="0" showColumnStripes="0"/>
</table>
</file>

<file path=xl/tables/table62.xml><?xml version="1.0" encoding="utf-8"?>
<table xmlns="http://schemas.openxmlformats.org/spreadsheetml/2006/main" id="62" name="Table1463" displayName="Table1463" ref="F58:I63" totalsRowCount="1" headerRowDxfId="1255" dataDxfId="1253" headerRowBorderDxfId="1254" tableBorderDxfId="1252">
  <tableColumns count="4">
    <tableColumn id="1" name="MISCELLANEOUS" totalsRowFunction="custom" dataDxfId="1251" totalsRowDxfId="1250">
      <totalsRowFormula>"Total " &amp; Table1463[[#Headers],[MISCELLANEOUS]]</totalsRowFormula>
    </tableColumn>
    <tableColumn id="2" name="Budget" totalsRowFunction="sum" dataDxfId="1249" totalsRowDxfId="1248" dataCellStyle="Comma"/>
    <tableColumn id="3" name="Actual" totalsRowFunction="sum" dataDxfId="1247" totalsRowDxfId="1246" dataCellStyle="Comma"/>
    <tableColumn id="4" name="Difference" totalsRowFunction="sum" dataDxfId="1245" totalsRowDxfId="1244" dataCellStyle="Comma">
      <calculatedColumnFormula>G59-H59</calculatedColumnFormula>
    </tableColumn>
  </tableColumns>
  <tableStyleInfo name="V42_ExpenseTable" showFirstColumn="0" showLastColumn="1" showRowStripes="0" showColumnStripes="0"/>
</table>
</file>

<file path=xl/tables/table63.xml><?xml version="1.0" encoding="utf-8"?>
<table xmlns="http://schemas.openxmlformats.org/spreadsheetml/2006/main" id="63" name="Table1564" displayName="Table1564" ref="A58:D63" totalsRowCount="1" headerRowDxfId="1243" dataDxfId="1241" headerRowBorderDxfId="1242" tableBorderDxfId="1240">
  <tableColumns count="4">
    <tableColumn id="1" name="SUBSCRIPTIONS" totalsRowFunction="custom" dataDxfId="1239" totalsRowDxfId="1238">
      <totalsRowFormula>"Total " &amp; Table1564[[#Headers],[SUBSCRIPTIONS]]</totalsRowFormula>
    </tableColumn>
    <tableColumn id="2" name="Budget" totalsRowFunction="sum" dataDxfId="1237" totalsRowDxfId="1236" dataCellStyle="Comma"/>
    <tableColumn id="3" name="Actual" totalsRowFunction="sum" dataDxfId="1235" totalsRowDxfId="1234" dataCellStyle="Comma"/>
    <tableColumn id="4" name="Difference" totalsRowFunction="sum" dataDxfId="1233" totalsRowDxfId="1232" dataCellStyle="Comma">
      <calculatedColumnFormula>B59-C59</calculatedColumnFormula>
    </tableColumn>
  </tableColumns>
  <tableStyleInfo name="V42_ExpenseTable" showFirstColumn="0" showLastColumn="1" showRowStripes="0" showColumnStripes="0"/>
</table>
</file>

<file path=xl/tables/table64.xml><?xml version="1.0" encoding="utf-8"?>
<table xmlns="http://schemas.openxmlformats.org/spreadsheetml/2006/main" id="64" name="Table1965" displayName="Table1965" ref="A51:D56" totalsRowCount="1" headerRowDxfId="1231" dataDxfId="1229" headerRowBorderDxfId="1230" tableBorderDxfId="1228">
  <tableColumns count="4">
    <tableColumn id="1" name="CHARITY/GIFTS" totalsRowFunction="custom" dataDxfId="1227" totalsRowDxfId="1226">
      <totalsRowFormula>"Total " &amp; Table1965[[#Headers],[CHARITY/GIFTS]]</totalsRowFormula>
    </tableColumn>
    <tableColumn id="2" name="Budget" totalsRowFunction="sum" dataDxfId="1225" totalsRowDxfId="1224" dataCellStyle="Comma"/>
    <tableColumn id="3" name="Actual" totalsRowFunction="sum" dataDxfId="1223" totalsRowDxfId="1222" dataCellStyle="Comma"/>
    <tableColumn id="4" name="Difference" totalsRowFunction="sum" dataDxfId="1221" totalsRowDxfId="1220" dataCellStyle="Comma">
      <calculatedColumnFormula>B52-C52</calculatedColumnFormula>
    </tableColumn>
  </tableColumns>
  <tableStyleInfo name="V42_ExpenseTable" showFirstColumn="0" showLastColumn="1" showRowStripes="0" showColumnStripes="0"/>
</table>
</file>

<file path=xl/tables/table65.xml><?xml version="1.0" encoding="utf-8"?>
<table xmlns="http://schemas.openxmlformats.org/spreadsheetml/2006/main" id="65" name="Table2066" displayName="Table2066" ref="A31:D39" totalsRowCount="1" headerRowDxfId="1219" dataDxfId="1217" headerRowBorderDxfId="1218" tableBorderDxfId="1216">
  <tableColumns count="4">
    <tableColumn id="1" name="TRANSPORTATION" totalsRowFunction="custom" dataDxfId="1215" totalsRowDxfId="1214">
      <totalsRowFormula>"Total " &amp; Table2066[[#Headers],[TRANSPORTATION]]</totalsRowFormula>
    </tableColumn>
    <tableColumn id="2" name="Budget" totalsRowFunction="sum" dataDxfId="1213" totalsRowDxfId="1212" dataCellStyle="Comma"/>
    <tableColumn id="3" name="Actual" totalsRowFunction="sum" dataDxfId="1211" totalsRowDxfId="1210" dataCellStyle="Comma"/>
    <tableColumn id="4" name="Difference" totalsRowFunction="sum" dataDxfId="1209" totalsRowDxfId="1208" dataCellStyle="Comma">
      <calculatedColumnFormula>B32-C32</calculatedColumnFormula>
    </tableColumn>
  </tableColumns>
  <tableStyleInfo name="V42_ExpenseTable" showFirstColumn="0" showLastColumn="1" showRowStripes="0" showColumnStripes="0"/>
</table>
</file>

<file path=xl/tables/table66.xml><?xml version="1.0" encoding="utf-8"?>
<table xmlns="http://schemas.openxmlformats.org/spreadsheetml/2006/main" id="66" name="Table2167" displayName="Table2167" ref="A41:D49" totalsRowCount="1" headerRowDxfId="1207" dataDxfId="1205" headerRowBorderDxfId="1206" tableBorderDxfId="1204">
  <tableColumns count="4">
    <tableColumn id="1" name="HEALTH" totalsRowFunction="custom" dataDxfId="1203" totalsRowDxfId="1202">
      <totalsRowFormula>"Total " &amp; Table2167[[#Headers],[HEALTH]]</totalsRowFormula>
    </tableColumn>
    <tableColumn id="2" name="Budget" totalsRowFunction="sum" dataDxfId="1201" totalsRowDxfId="1200" dataCellStyle="Comma"/>
    <tableColumn id="3" name="Actual" totalsRowFunction="sum" dataDxfId="1199" totalsRowDxfId="1198" dataCellStyle="Comma"/>
    <tableColumn id="4" name="Difference" totalsRowFunction="sum" dataDxfId="1197" totalsRowDxfId="1196" dataCellStyle="Comma">
      <calculatedColumnFormula>B42-C42</calculatedColumnFormula>
    </tableColumn>
  </tableColumns>
  <tableStyleInfo name="V42_ExpenseTable" showFirstColumn="0" showLastColumn="1" showRowStripes="0" showColumnStripes="0"/>
</table>
</file>

<file path=xl/tables/table67.xml><?xml version="1.0" encoding="utf-8"?>
<table xmlns="http://schemas.openxmlformats.org/spreadsheetml/2006/main" id="177" name="Table2179" displayName="Table2179" ref="A4:D13" totalsRowCount="1" headerRowDxfId="1193" dataDxfId="1191" headerRowBorderDxfId="1192" tableBorderDxfId="1190">
  <tableColumns count="4">
    <tableColumn id="1" name="INCOME" totalsRowFunction="custom" totalsRowDxfId="1189">
      <totalsRowFormula>"Total " &amp; Table2179[[#Headers],[INCOME]]</totalsRowFormula>
    </tableColumn>
    <tableColumn id="2" name="Budget" totalsRowFunction="sum" totalsRowDxfId="1188" dataCellStyle="Comma"/>
    <tableColumn id="3" name="Actual" totalsRowFunction="sum" totalsRowDxfId="1187" dataCellStyle="Comma"/>
    <tableColumn id="4" name="Difference" totalsRowFunction="sum" totalsRowDxfId="1186" dataCellStyle="Comma">
      <calculatedColumnFormula>C5-B5</calculatedColumnFormula>
    </tableColumn>
  </tableColumns>
  <tableStyleInfo name="V42_IncomeTable" showFirstColumn="0" showLastColumn="1" showRowStripes="0" showColumnStripes="0"/>
</table>
</file>

<file path=xl/tables/table68.xml><?xml version="1.0" encoding="utf-8"?>
<table xmlns="http://schemas.openxmlformats.org/spreadsheetml/2006/main" id="178" name="Table5179" displayName="Table5179" ref="A15:D29" totalsRowCount="1" headerRowDxfId="1185" dataDxfId="1183" headerRowBorderDxfId="1184" tableBorderDxfId="1182">
  <tableColumns count="4">
    <tableColumn id="1" name="HOME EXPENSES" totalsRowFunction="custom" dataDxfId="1181" totalsRowDxfId="1180">
      <totalsRowFormula>"Total " &amp; Table5179[[#Headers],[HOME EXPENSES]]</totalsRowFormula>
    </tableColumn>
    <tableColumn id="2" name="Budget" totalsRowFunction="sum" dataDxfId="1179" totalsRowDxfId="1178" dataCellStyle="Comma"/>
    <tableColumn id="3" name="Actual" totalsRowFunction="sum" dataDxfId="1177" totalsRowDxfId="1176" dataCellStyle="Comma"/>
    <tableColumn id="4" name="Difference" totalsRowFunction="sum" dataDxfId="1175" totalsRowDxfId="1174" dataCellStyle="Comma">
      <calculatedColumnFormula>B16-C16</calculatedColumnFormula>
    </tableColumn>
  </tableColumns>
  <tableStyleInfo name="V42_ExpenseTable" showFirstColumn="0" showLastColumn="1" showRowStripes="0" showColumnStripes="0"/>
</table>
</file>

<file path=xl/tables/table69.xml><?xml version="1.0" encoding="utf-8"?>
<table xmlns="http://schemas.openxmlformats.org/spreadsheetml/2006/main" id="179" name="Table6180" displayName="Table6180" ref="F10:I20" totalsRowCount="1" headerRowDxfId="1173" dataDxfId="1171" headerRowBorderDxfId="1172" tableBorderDxfId="1170">
  <tableColumns count="4">
    <tableColumn id="1" name="DAILY LIVING" totalsRowFunction="custom" dataDxfId="1169" totalsRowDxfId="1168">
      <totalsRowFormula>"Total " &amp; Table6180[[#Headers],[DAILY LIVING]]</totalsRowFormula>
    </tableColumn>
    <tableColumn id="2" name="Budget" totalsRowFunction="sum" dataDxfId="1167" totalsRowDxfId="1166" dataCellStyle="Comma"/>
    <tableColumn id="3" name="Actual" totalsRowFunction="sum" dataDxfId="1165" totalsRowDxfId="1164" dataCellStyle="Comma"/>
    <tableColumn id="4" name="Difference" totalsRowFunction="sum" dataDxfId="1163" totalsRowDxfId="1162" dataCellStyle="Comma">
      <calculatedColumnFormula>G11-H11</calculatedColumnFormula>
    </tableColumn>
  </tableColumns>
  <tableStyleInfo name="V42_ExpenseTable" showFirstColumn="0" showLastColumn="1" showRowStripes="0" showColumnStripes="0"/>
</table>
</file>

<file path=xl/tables/table7.xml><?xml version="1.0" encoding="utf-8"?>
<table xmlns="http://schemas.openxmlformats.org/spreadsheetml/2006/main" id="14" name="Table14" displayName="Table14" ref="F58:I63" totalsRowCount="1" headerRowDxfId="1764" dataDxfId="1762" headerRowBorderDxfId="1763" tableBorderDxfId="1761">
  <tableColumns count="4">
    <tableColumn id="1" name="MISCELLANEOUS" totalsRowFunction="custom" dataDxfId="1760" totalsRowDxfId="123">
      <totalsRowFormula>"Total " &amp; Table14[[#Headers],[MISCELLANEOUS]]</totalsRowFormula>
    </tableColumn>
    <tableColumn id="2" name="Budget" totalsRowFunction="sum" dataDxfId="1759" totalsRowDxfId="122" dataCellStyle="Comma"/>
    <tableColumn id="3" name="Actual" totalsRowFunction="sum" dataDxfId="1758" totalsRowDxfId="121" dataCellStyle="Comma"/>
    <tableColumn id="4" name="Difference" totalsRowFunction="sum" dataDxfId="1757" totalsRowDxfId="120" dataCellStyle="Comma">
      <calculatedColumnFormula>G59-H59</calculatedColumnFormula>
    </tableColumn>
  </tableColumns>
  <tableStyleInfo name="V42_ExpenseTable" showFirstColumn="0" showLastColumn="1" showRowStripes="0" showColumnStripes="0"/>
</table>
</file>

<file path=xl/tables/table70.xml><?xml version="1.0" encoding="utf-8"?>
<table xmlns="http://schemas.openxmlformats.org/spreadsheetml/2006/main" id="180" name="Table7181" displayName="Table7181" ref="F22:I37" totalsRowCount="1" headerRowDxfId="1161" dataDxfId="1159" headerRowBorderDxfId="1160" tableBorderDxfId="1158">
  <tableColumns count="4">
    <tableColumn id="1" name="Entertainment" totalsRowFunction="custom" dataDxfId="1157" totalsRowDxfId="1156">
      <totalsRowFormula>"Total " &amp; Table7181[[#Headers],[Entertainment]]</totalsRowFormula>
    </tableColumn>
    <tableColumn id="2" name="Budget" totalsRowFunction="sum" dataDxfId="1155" totalsRowDxfId="1154" dataCellStyle="Comma"/>
    <tableColumn id="3" name="Actual" totalsRowFunction="sum" dataDxfId="1153" totalsRowDxfId="1152" dataCellStyle="Comma"/>
    <tableColumn id="4" name="Difference" totalsRowFunction="sum" dataDxfId="1151" totalsRowDxfId="1150" dataCellStyle="Comma">
      <calculatedColumnFormula>G23-H23</calculatedColumnFormula>
    </tableColumn>
  </tableColumns>
  <tableStyleInfo name="V42_ExpenseTable" showFirstColumn="0" showLastColumn="1" showRowStripes="0" showColumnStripes="0"/>
</table>
</file>

<file path=xl/tables/table71.xml><?xml version="1.0" encoding="utf-8"?>
<table xmlns="http://schemas.openxmlformats.org/spreadsheetml/2006/main" id="181" name="Table8182" displayName="Table8182" ref="F39:I46" totalsRowCount="1" headerRowDxfId="1149" dataDxfId="1147" headerRowBorderDxfId="1148" tableBorderDxfId="1146">
  <tableColumns count="4">
    <tableColumn id="1" name="SAVINGS" totalsRowFunction="custom" dataDxfId="1145" totalsRowDxfId="1144">
      <totalsRowFormula>"Total " &amp; Table8182[[#Headers],[SAVINGS]]</totalsRowFormula>
    </tableColumn>
    <tableColumn id="2" name="Budget" totalsRowFunction="sum" dataDxfId="1143" totalsRowDxfId="1142"/>
    <tableColumn id="3" name="Actual" totalsRowFunction="sum" dataDxfId="1141" totalsRowDxfId="1140"/>
    <tableColumn id="4" name="Difference" totalsRowFunction="sum" dataDxfId="1139" totalsRowDxfId="1138" dataCellStyle="Comma">
      <calculatedColumnFormula>G40-H40</calculatedColumnFormula>
    </tableColumn>
  </tableColumns>
  <tableStyleInfo name="V42_ExpenseTable" showFirstColumn="0" showLastColumn="1" showRowStripes="0" showColumnStripes="0"/>
</table>
</file>

<file path=xl/tables/table72.xml><?xml version="1.0" encoding="utf-8"?>
<table xmlns="http://schemas.openxmlformats.org/spreadsheetml/2006/main" id="182" name="Table10183" displayName="Table10183" ref="F48:I56" totalsRowCount="1" headerRowDxfId="1137" dataDxfId="1135" headerRowBorderDxfId="1136">
  <tableColumns count="4">
    <tableColumn id="1" name="OBLIGATIONS" totalsRowFunction="custom" dataDxfId="1134" totalsRowDxfId="1133">
      <totalsRowFormula>"Total " &amp; Table10183[[#Headers],[OBLIGATIONS]]</totalsRowFormula>
    </tableColumn>
    <tableColumn id="2" name="Budget" totalsRowFunction="sum" dataDxfId="1132" totalsRowDxfId="1131" dataCellStyle="Comma"/>
    <tableColumn id="3" name="Actual" totalsRowFunction="sum" dataDxfId="1130" totalsRowDxfId="1129" dataCellStyle="Comma"/>
    <tableColumn id="4" name="Difference" totalsRowFunction="sum" dataDxfId="1128" totalsRowDxfId="1127" dataCellStyle="Comma">
      <calculatedColumnFormula>G49-H49</calculatedColumnFormula>
    </tableColumn>
  </tableColumns>
  <tableStyleInfo name="V42_ExpenseTable" showFirstColumn="0" showLastColumn="1" showRowStripes="0" showColumnStripes="0"/>
</table>
</file>

<file path=xl/tables/table73.xml><?xml version="1.0" encoding="utf-8"?>
<table xmlns="http://schemas.openxmlformats.org/spreadsheetml/2006/main" id="183" name="Table14184" displayName="Table14184" ref="F58:I63" totalsRowCount="1" headerRowDxfId="1126" dataDxfId="1124" headerRowBorderDxfId="1125" tableBorderDxfId="1123">
  <tableColumns count="4">
    <tableColumn id="1" name="MISCELLANEOUS" totalsRowFunction="custom" dataDxfId="1122" totalsRowDxfId="1121">
      <totalsRowFormula>"Total " &amp; Table14184[[#Headers],[MISCELLANEOUS]]</totalsRowFormula>
    </tableColumn>
    <tableColumn id="2" name="Budget" totalsRowFunction="sum" dataDxfId="1120" totalsRowDxfId="1119" dataCellStyle="Comma"/>
    <tableColumn id="3" name="Actual" totalsRowFunction="sum" dataDxfId="1118" totalsRowDxfId="1117" dataCellStyle="Comma"/>
    <tableColumn id="4" name="Difference" totalsRowFunction="sum" dataDxfId="1116" totalsRowDxfId="1115" dataCellStyle="Comma">
      <calculatedColumnFormula>G59-H59</calculatedColumnFormula>
    </tableColumn>
  </tableColumns>
  <tableStyleInfo name="V42_ExpenseTable" showFirstColumn="0" showLastColumn="1" showRowStripes="0" showColumnStripes="0"/>
</table>
</file>

<file path=xl/tables/table74.xml><?xml version="1.0" encoding="utf-8"?>
<table xmlns="http://schemas.openxmlformats.org/spreadsheetml/2006/main" id="184" name="Table15185" displayName="Table15185" ref="A58:D63" totalsRowCount="1" headerRowDxfId="1114" dataDxfId="1112" headerRowBorderDxfId="1113" tableBorderDxfId="1111">
  <tableColumns count="4">
    <tableColumn id="1" name="SUBSCRIPTIONS" totalsRowFunction="custom" dataDxfId="1110" totalsRowDxfId="1109">
      <totalsRowFormula>"Total " &amp; Table15185[[#Headers],[SUBSCRIPTIONS]]</totalsRowFormula>
    </tableColumn>
    <tableColumn id="2" name="Budget" totalsRowFunction="sum" dataDxfId="1108" totalsRowDxfId="1107" dataCellStyle="Comma"/>
    <tableColumn id="3" name="Actual" totalsRowFunction="sum" dataDxfId="1106" totalsRowDxfId="1105" dataCellStyle="Comma"/>
    <tableColumn id="4" name="Difference" totalsRowFunction="sum" dataDxfId="1104" totalsRowDxfId="1103" dataCellStyle="Comma">
      <calculatedColumnFormula>B59-C59</calculatedColumnFormula>
    </tableColumn>
  </tableColumns>
  <tableStyleInfo name="V42_ExpenseTable" showFirstColumn="0" showLastColumn="1" showRowStripes="0" showColumnStripes="0"/>
</table>
</file>

<file path=xl/tables/table75.xml><?xml version="1.0" encoding="utf-8"?>
<table xmlns="http://schemas.openxmlformats.org/spreadsheetml/2006/main" id="185" name="Table19186" displayName="Table19186" ref="A51:D56" totalsRowCount="1" headerRowDxfId="1102" dataDxfId="1100" headerRowBorderDxfId="1101" tableBorderDxfId="1099">
  <tableColumns count="4">
    <tableColumn id="1" name="CHARITY/GIFTS" totalsRowFunction="custom" dataDxfId="1098" totalsRowDxfId="1097">
      <totalsRowFormula>"Total " &amp; Table19186[[#Headers],[CHARITY/GIFTS]]</totalsRowFormula>
    </tableColumn>
    <tableColumn id="2" name="Budget" totalsRowFunction="sum" dataDxfId="1096" totalsRowDxfId="1095" dataCellStyle="Comma"/>
    <tableColumn id="3" name="Actual" totalsRowFunction="sum" dataDxfId="1094" totalsRowDxfId="1093" dataCellStyle="Comma"/>
    <tableColumn id="4" name="Difference" totalsRowFunction="sum" dataDxfId="1092" totalsRowDxfId="1091" dataCellStyle="Comma">
      <calculatedColumnFormula>B52-C52</calculatedColumnFormula>
    </tableColumn>
  </tableColumns>
  <tableStyleInfo name="V42_ExpenseTable" showFirstColumn="0" showLastColumn="1" showRowStripes="0" showColumnStripes="0"/>
</table>
</file>

<file path=xl/tables/table76.xml><?xml version="1.0" encoding="utf-8"?>
<table xmlns="http://schemas.openxmlformats.org/spreadsheetml/2006/main" id="186" name="Table20187" displayName="Table20187" ref="A31:D39" totalsRowCount="1" headerRowDxfId="1090" dataDxfId="1088" headerRowBorderDxfId="1089" tableBorderDxfId="1087">
  <tableColumns count="4">
    <tableColumn id="1" name="TRANSPORTATION" totalsRowFunction="custom" dataDxfId="1086" totalsRowDxfId="1085">
      <totalsRowFormula>"Total " &amp; Table20187[[#Headers],[TRANSPORTATION]]</totalsRowFormula>
    </tableColumn>
    <tableColumn id="2" name="Budget" totalsRowFunction="sum" dataDxfId="1084" totalsRowDxfId="1083" dataCellStyle="Comma"/>
    <tableColumn id="3" name="Actual" totalsRowFunction="sum" dataDxfId="1082" totalsRowDxfId="1081" dataCellStyle="Comma"/>
    <tableColumn id="4" name="Difference" totalsRowFunction="sum" dataDxfId="1080" totalsRowDxfId="1079" dataCellStyle="Comma">
      <calculatedColumnFormula>B32-C32</calculatedColumnFormula>
    </tableColumn>
  </tableColumns>
  <tableStyleInfo name="V42_ExpenseTable" showFirstColumn="0" showLastColumn="1" showRowStripes="0" showColumnStripes="0"/>
</table>
</file>

<file path=xl/tables/table77.xml><?xml version="1.0" encoding="utf-8"?>
<table xmlns="http://schemas.openxmlformats.org/spreadsheetml/2006/main" id="187" name="Table21188" displayName="Table21188" ref="A41:D49" totalsRowCount="1" headerRowDxfId="1078" dataDxfId="1076" headerRowBorderDxfId="1077" tableBorderDxfId="1075">
  <tableColumns count="4">
    <tableColumn id="1" name="HEALTH" totalsRowFunction="custom" dataDxfId="1074" totalsRowDxfId="1073">
      <totalsRowFormula>"Total " &amp; Table21188[[#Headers],[HEALTH]]</totalsRowFormula>
    </tableColumn>
    <tableColumn id="2" name="Budget" totalsRowFunction="sum" dataDxfId="1072" totalsRowDxfId="1071" dataCellStyle="Comma"/>
    <tableColumn id="3" name="Actual" totalsRowFunction="sum" dataDxfId="1070" totalsRowDxfId="1069" dataCellStyle="Comma"/>
    <tableColumn id="4" name="Difference" totalsRowFunction="sum" dataDxfId="1068" totalsRowDxfId="1067" dataCellStyle="Comma">
      <calculatedColumnFormula>B42-C42</calculatedColumnFormula>
    </tableColumn>
  </tableColumns>
  <tableStyleInfo name="V42_ExpenseTable" showFirstColumn="0" showLastColumn="1" showRowStripes="0" showColumnStripes="0"/>
</table>
</file>

<file path=xl/tables/table78.xml><?xml version="1.0" encoding="utf-8"?>
<table xmlns="http://schemas.openxmlformats.org/spreadsheetml/2006/main" id="188" name="Table2190" displayName="Table2190" ref="A4:D13" totalsRowCount="1" headerRowDxfId="1064" dataDxfId="1062" headerRowBorderDxfId="1063" tableBorderDxfId="1061">
  <tableColumns count="4">
    <tableColumn id="1" name="INCOME" totalsRowFunction="custom" totalsRowDxfId="1060">
      <totalsRowFormula>"Total " &amp; Table2190[[#Headers],[INCOME]]</totalsRowFormula>
    </tableColumn>
    <tableColumn id="2" name="Budget" totalsRowFunction="sum" totalsRowDxfId="1059" dataCellStyle="Comma"/>
    <tableColumn id="3" name="Actual" totalsRowFunction="sum" totalsRowDxfId="1058" dataCellStyle="Comma"/>
    <tableColumn id="4" name="Difference" totalsRowFunction="sum" totalsRowDxfId="1057" dataCellStyle="Comma">
      <calculatedColumnFormula>C5-B5</calculatedColumnFormula>
    </tableColumn>
  </tableColumns>
  <tableStyleInfo name="V42_IncomeTable" showFirstColumn="0" showLastColumn="1" showRowStripes="0" showColumnStripes="0"/>
</table>
</file>

<file path=xl/tables/table79.xml><?xml version="1.0" encoding="utf-8"?>
<table xmlns="http://schemas.openxmlformats.org/spreadsheetml/2006/main" id="189" name="Table5190" displayName="Table5190" ref="A15:D29" totalsRowCount="1" headerRowDxfId="1056" dataDxfId="1054" headerRowBorderDxfId="1055" tableBorderDxfId="1053">
  <tableColumns count="4">
    <tableColumn id="1" name="HOME EXPENSES" totalsRowFunction="custom" dataDxfId="1052" totalsRowDxfId="1051">
      <totalsRowFormula>"Total " &amp; Table5190[[#Headers],[HOME EXPENSES]]</totalsRowFormula>
    </tableColumn>
    <tableColumn id="2" name="Budget" totalsRowFunction="sum" dataDxfId="1050" totalsRowDxfId="1049" dataCellStyle="Comma"/>
    <tableColumn id="3" name="Actual" totalsRowFunction="sum" dataDxfId="1048" totalsRowDxfId="1047" dataCellStyle="Comma"/>
    <tableColumn id="4" name="Difference" totalsRowFunction="sum" dataDxfId="1046" totalsRowDxfId="1045" dataCellStyle="Comma">
      <calculatedColumnFormula>B16-C16</calculatedColumnFormula>
    </tableColumn>
  </tableColumns>
  <tableStyleInfo name="V42_ExpenseTable" showFirstColumn="0" showLastColumn="1" showRowStripes="0" showColumnStripes="0"/>
</table>
</file>

<file path=xl/tables/table8.xml><?xml version="1.0" encoding="utf-8"?>
<table xmlns="http://schemas.openxmlformats.org/spreadsheetml/2006/main" id="15" name="Table15" displayName="Table15" ref="A58:D63" totalsRowCount="1" headerRowDxfId="1756" dataDxfId="1754" headerRowBorderDxfId="1755" tableBorderDxfId="1753">
  <tableColumns count="4">
    <tableColumn id="1" name="SUBSCRIPTIONS" totalsRowFunction="custom" dataDxfId="1752" totalsRowDxfId="127">
      <totalsRowFormula>"Total " &amp; Table15[[#Headers],[SUBSCRIPTIONS]]</totalsRowFormula>
    </tableColumn>
    <tableColumn id="2" name="Budget" totalsRowFunction="sum" dataDxfId="1751" totalsRowDxfId="126" dataCellStyle="Comma"/>
    <tableColumn id="3" name="Actual" totalsRowFunction="sum" dataDxfId="1750" totalsRowDxfId="125" dataCellStyle="Comma"/>
    <tableColumn id="4" name="Difference" totalsRowFunction="sum" dataDxfId="1749" totalsRowDxfId="124" dataCellStyle="Comma">
      <calculatedColumnFormula>B59-C59</calculatedColumnFormula>
    </tableColumn>
  </tableColumns>
  <tableStyleInfo name="V42_ExpenseTable" showFirstColumn="0" showLastColumn="1" showRowStripes="0" showColumnStripes="0"/>
</table>
</file>

<file path=xl/tables/table80.xml><?xml version="1.0" encoding="utf-8"?>
<table xmlns="http://schemas.openxmlformats.org/spreadsheetml/2006/main" id="190" name="Table6191" displayName="Table6191" ref="F10:I20" totalsRowCount="1" headerRowDxfId="1044" dataDxfId="1042" headerRowBorderDxfId="1043" tableBorderDxfId="1041">
  <tableColumns count="4">
    <tableColumn id="1" name="DAILY LIVING" totalsRowFunction="custom" dataDxfId="1040" totalsRowDxfId="1039">
      <totalsRowFormula>"Total " &amp; Table6191[[#Headers],[DAILY LIVING]]</totalsRowFormula>
    </tableColumn>
    <tableColumn id="2" name="Budget" totalsRowFunction="sum" dataDxfId="1038" totalsRowDxfId="1037" dataCellStyle="Comma"/>
    <tableColumn id="3" name="Actual" totalsRowFunction="sum" dataDxfId="1036" totalsRowDxfId="1035" dataCellStyle="Comma"/>
    <tableColumn id="4" name="Difference" totalsRowFunction="sum" dataDxfId="1034" totalsRowDxfId="1033" dataCellStyle="Comma">
      <calculatedColumnFormula>G11-H11</calculatedColumnFormula>
    </tableColumn>
  </tableColumns>
  <tableStyleInfo name="V42_ExpenseTable" showFirstColumn="0" showLastColumn="1" showRowStripes="0" showColumnStripes="0"/>
</table>
</file>

<file path=xl/tables/table81.xml><?xml version="1.0" encoding="utf-8"?>
<table xmlns="http://schemas.openxmlformats.org/spreadsheetml/2006/main" id="191" name="Table7192" displayName="Table7192" ref="F22:I37" totalsRowCount="1" headerRowDxfId="1032" dataDxfId="1030" headerRowBorderDxfId="1031" tableBorderDxfId="1029">
  <tableColumns count="4">
    <tableColumn id="1" name="Entertainment" totalsRowFunction="custom" dataDxfId="1028" totalsRowDxfId="1027">
      <totalsRowFormula>"Total " &amp; Table7192[[#Headers],[Entertainment]]</totalsRowFormula>
    </tableColumn>
    <tableColumn id="2" name="Budget" totalsRowFunction="sum" dataDxfId="1026" totalsRowDxfId="1025" dataCellStyle="Comma"/>
    <tableColumn id="3" name="Actual" totalsRowFunction="sum" dataDxfId="1024" totalsRowDxfId="1023" dataCellStyle="Comma"/>
    <tableColumn id="4" name="Difference" totalsRowFunction="sum" dataDxfId="1022" totalsRowDxfId="1021" dataCellStyle="Comma">
      <calculatedColumnFormula>G23-H23</calculatedColumnFormula>
    </tableColumn>
  </tableColumns>
  <tableStyleInfo name="V42_ExpenseTable" showFirstColumn="0" showLastColumn="1" showRowStripes="0" showColumnStripes="0"/>
</table>
</file>

<file path=xl/tables/table82.xml><?xml version="1.0" encoding="utf-8"?>
<table xmlns="http://schemas.openxmlformats.org/spreadsheetml/2006/main" id="192" name="Table8193" displayName="Table8193" ref="F39:I46" totalsRowCount="1" headerRowDxfId="1020" dataDxfId="1018" headerRowBorderDxfId="1019" tableBorderDxfId="1017">
  <tableColumns count="4">
    <tableColumn id="1" name="SAVINGS" totalsRowFunction="custom" dataDxfId="1016" totalsRowDxfId="1015">
      <totalsRowFormula>"Total " &amp; Table8193[[#Headers],[SAVINGS]]</totalsRowFormula>
    </tableColumn>
    <tableColumn id="2" name="Budget" totalsRowFunction="sum" dataDxfId="1014" totalsRowDxfId="1013"/>
    <tableColumn id="3" name="Actual" totalsRowFunction="sum" dataDxfId="1012" totalsRowDxfId="1011"/>
    <tableColumn id="4" name="Difference" totalsRowFunction="sum" dataDxfId="1010" totalsRowDxfId="1009" dataCellStyle="Comma">
      <calculatedColumnFormula>G40-H40</calculatedColumnFormula>
    </tableColumn>
  </tableColumns>
  <tableStyleInfo name="V42_ExpenseTable" showFirstColumn="0" showLastColumn="1" showRowStripes="0" showColumnStripes="0"/>
</table>
</file>

<file path=xl/tables/table83.xml><?xml version="1.0" encoding="utf-8"?>
<table xmlns="http://schemas.openxmlformats.org/spreadsheetml/2006/main" id="193" name="Table10194" displayName="Table10194" ref="F48:I56" totalsRowCount="1" headerRowDxfId="1008" dataDxfId="1006" headerRowBorderDxfId="1007">
  <tableColumns count="4">
    <tableColumn id="1" name="OBLIGATIONS" totalsRowFunction="custom" dataDxfId="1005" totalsRowDxfId="1004">
      <totalsRowFormula>"Total " &amp; Table10194[[#Headers],[OBLIGATIONS]]</totalsRowFormula>
    </tableColumn>
    <tableColumn id="2" name="Budget" totalsRowFunction="sum" dataDxfId="1003" totalsRowDxfId="1002" dataCellStyle="Comma"/>
    <tableColumn id="3" name="Actual" totalsRowFunction="sum" dataDxfId="1001" totalsRowDxfId="1000" dataCellStyle="Comma"/>
    <tableColumn id="4" name="Difference" totalsRowFunction="sum" dataDxfId="999" totalsRowDxfId="998" dataCellStyle="Comma">
      <calculatedColumnFormula>G49-H49</calculatedColumnFormula>
    </tableColumn>
  </tableColumns>
  <tableStyleInfo name="V42_ExpenseTable" showFirstColumn="0" showLastColumn="1" showRowStripes="0" showColumnStripes="0"/>
</table>
</file>

<file path=xl/tables/table84.xml><?xml version="1.0" encoding="utf-8"?>
<table xmlns="http://schemas.openxmlformats.org/spreadsheetml/2006/main" id="194" name="Table14195" displayName="Table14195" ref="F58:I63" totalsRowCount="1" headerRowDxfId="997" dataDxfId="995" headerRowBorderDxfId="996" tableBorderDxfId="994">
  <tableColumns count="4">
    <tableColumn id="1" name="MISCELLANEOUS" totalsRowFunction="custom" dataDxfId="993" totalsRowDxfId="992">
      <totalsRowFormula>"Total " &amp; Table14195[[#Headers],[MISCELLANEOUS]]</totalsRowFormula>
    </tableColumn>
    <tableColumn id="2" name="Budget" totalsRowFunction="sum" dataDxfId="991" totalsRowDxfId="990" dataCellStyle="Comma"/>
    <tableColumn id="3" name="Actual" totalsRowFunction="sum" dataDxfId="989" totalsRowDxfId="988" dataCellStyle="Comma"/>
    <tableColumn id="4" name="Difference" totalsRowFunction="sum" dataDxfId="987" totalsRowDxfId="986" dataCellStyle="Comma">
      <calculatedColumnFormula>G59-H59</calculatedColumnFormula>
    </tableColumn>
  </tableColumns>
  <tableStyleInfo name="V42_ExpenseTable" showFirstColumn="0" showLastColumn="1" showRowStripes="0" showColumnStripes="0"/>
</table>
</file>

<file path=xl/tables/table85.xml><?xml version="1.0" encoding="utf-8"?>
<table xmlns="http://schemas.openxmlformats.org/spreadsheetml/2006/main" id="195" name="Table15196" displayName="Table15196" ref="A58:D63" totalsRowCount="1" headerRowDxfId="985" dataDxfId="983" headerRowBorderDxfId="984" tableBorderDxfId="982">
  <tableColumns count="4">
    <tableColumn id="1" name="SUBSCRIPTIONS" totalsRowFunction="custom" dataDxfId="981" totalsRowDxfId="980">
      <totalsRowFormula>"Total " &amp; Table15196[[#Headers],[SUBSCRIPTIONS]]</totalsRowFormula>
    </tableColumn>
    <tableColumn id="2" name="Budget" totalsRowFunction="sum" dataDxfId="979" totalsRowDxfId="978" dataCellStyle="Comma"/>
    <tableColumn id="3" name="Actual" totalsRowFunction="sum" dataDxfId="977" totalsRowDxfId="976" dataCellStyle="Comma"/>
    <tableColumn id="4" name="Difference" totalsRowFunction="sum" dataDxfId="975" totalsRowDxfId="974" dataCellStyle="Comma">
      <calculatedColumnFormula>B59-C59</calculatedColumnFormula>
    </tableColumn>
  </tableColumns>
  <tableStyleInfo name="V42_ExpenseTable" showFirstColumn="0" showLastColumn="1" showRowStripes="0" showColumnStripes="0"/>
</table>
</file>

<file path=xl/tables/table86.xml><?xml version="1.0" encoding="utf-8"?>
<table xmlns="http://schemas.openxmlformats.org/spreadsheetml/2006/main" id="196" name="Table19197" displayName="Table19197" ref="A51:D56" totalsRowCount="1" headerRowDxfId="973" dataDxfId="971" headerRowBorderDxfId="972" tableBorderDxfId="970">
  <tableColumns count="4">
    <tableColumn id="1" name="CHARITY/GIFTS" totalsRowFunction="custom" dataDxfId="969" totalsRowDxfId="968">
      <totalsRowFormula>"Total " &amp; Table19197[[#Headers],[CHARITY/GIFTS]]</totalsRowFormula>
    </tableColumn>
    <tableColumn id="2" name="Budget" totalsRowFunction="sum" dataDxfId="967" totalsRowDxfId="966" dataCellStyle="Comma"/>
    <tableColumn id="3" name="Actual" totalsRowFunction="sum" dataDxfId="965" totalsRowDxfId="964" dataCellStyle="Comma"/>
    <tableColumn id="4" name="Difference" totalsRowFunction="sum" dataDxfId="963" totalsRowDxfId="962" dataCellStyle="Comma">
      <calculatedColumnFormula>B52-C52</calculatedColumnFormula>
    </tableColumn>
  </tableColumns>
  <tableStyleInfo name="V42_ExpenseTable" showFirstColumn="0" showLastColumn="1" showRowStripes="0" showColumnStripes="0"/>
</table>
</file>

<file path=xl/tables/table87.xml><?xml version="1.0" encoding="utf-8"?>
<table xmlns="http://schemas.openxmlformats.org/spreadsheetml/2006/main" id="197" name="Table20198" displayName="Table20198" ref="A31:D39" totalsRowCount="1" headerRowDxfId="961" dataDxfId="959" headerRowBorderDxfId="960" tableBorderDxfId="958">
  <tableColumns count="4">
    <tableColumn id="1" name="TRANSPORTATION" totalsRowFunction="custom" dataDxfId="957" totalsRowDxfId="956">
      <totalsRowFormula>"Total " &amp; Table20198[[#Headers],[TRANSPORTATION]]</totalsRowFormula>
    </tableColumn>
    <tableColumn id="2" name="Budget" totalsRowFunction="sum" dataDxfId="955" totalsRowDxfId="954" dataCellStyle="Comma"/>
    <tableColumn id="3" name="Actual" totalsRowFunction="sum" dataDxfId="953" totalsRowDxfId="952" dataCellStyle="Comma"/>
    <tableColumn id="4" name="Difference" totalsRowFunction="sum" dataDxfId="951" totalsRowDxfId="950" dataCellStyle="Comma">
      <calculatedColumnFormula>B32-C32</calculatedColumnFormula>
    </tableColumn>
  </tableColumns>
  <tableStyleInfo name="V42_ExpenseTable" showFirstColumn="0" showLastColumn="1" showRowStripes="0" showColumnStripes="0"/>
</table>
</file>

<file path=xl/tables/table88.xml><?xml version="1.0" encoding="utf-8"?>
<table xmlns="http://schemas.openxmlformats.org/spreadsheetml/2006/main" id="198" name="Table21199" displayName="Table21199" ref="A41:D49" totalsRowCount="1" headerRowDxfId="949" dataDxfId="947" headerRowBorderDxfId="948" tableBorderDxfId="946">
  <tableColumns count="4">
    <tableColumn id="1" name="HEALTH" totalsRowFunction="custom" dataDxfId="945" totalsRowDxfId="944">
      <totalsRowFormula>"Total " &amp; Table21199[[#Headers],[HEALTH]]</totalsRowFormula>
    </tableColumn>
    <tableColumn id="2" name="Budget" totalsRowFunction="sum" dataDxfId="943" totalsRowDxfId="942" dataCellStyle="Comma"/>
    <tableColumn id="3" name="Actual" totalsRowFunction="sum" dataDxfId="941" totalsRowDxfId="940" dataCellStyle="Comma"/>
    <tableColumn id="4" name="Difference" totalsRowFunction="sum" dataDxfId="939" totalsRowDxfId="938" dataCellStyle="Comma">
      <calculatedColumnFormula>B42-C42</calculatedColumnFormula>
    </tableColumn>
  </tableColumns>
  <tableStyleInfo name="V42_ExpenseTable" showFirstColumn="0" showLastColumn="1" showRowStripes="0" showColumnStripes="0"/>
</table>
</file>

<file path=xl/tables/table89.xml><?xml version="1.0" encoding="utf-8"?>
<table xmlns="http://schemas.openxmlformats.org/spreadsheetml/2006/main" id="199" name="Table2200" displayName="Table2200" ref="A4:D13" totalsRowCount="1" headerRowDxfId="935" dataDxfId="933" headerRowBorderDxfId="934" tableBorderDxfId="932">
  <tableColumns count="4">
    <tableColumn id="1" name="INCOME" totalsRowFunction="custom" totalsRowDxfId="931">
      <totalsRowFormula>"Total " &amp; Table2200[[#Headers],[INCOME]]</totalsRowFormula>
    </tableColumn>
    <tableColumn id="2" name="Budget" totalsRowFunction="sum" totalsRowDxfId="930" dataCellStyle="Comma"/>
    <tableColumn id="3" name="Actual" totalsRowFunction="sum" totalsRowDxfId="929" dataCellStyle="Comma"/>
    <tableColumn id="4" name="Difference" totalsRowFunction="sum" totalsRowDxfId="928" dataCellStyle="Comma">
      <calculatedColumnFormula>C5-B5</calculatedColumnFormula>
    </tableColumn>
  </tableColumns>
  <tableStyleInfo name="V42_IncomeTable" showFirstColumn="0" showLastColumn="1" showRowStripes="0" showColumnStripes="0"/>
</table>
</file>

<file path=xl/tables/table9.xml><?xml version="1.0" encoding="utf-8"?>
<table xmlns="http://schemas.openxmlformats.org/spreadsheetml/2006/main" id="19" name="Table19" displayName="Table19" ref="A51:D56" totalsRowCount="1" headerRowDxfId="1748" dataDxfId="1746" headerRowBorderDxfId="1747" tableBorderDxfId="1745">
  <tableColumns count="4">
    <tableColumn id="1" name="CHARITY/GIFTS" totalsRowFunction="custom" dataDxfId="1744" totalsRowDxfId="131">
      <totalsRowFormula>"Total " &amp; Table19[[#Headers],[CHARITY/GIFTS]]</totalsRowFormula>
    </tableColumn>
    <tableColumn id="2" name="Budget" totalsRowFunction="sum" dataDxfId="1743" totalsRowDxfId="130" dataCellStyle="Comma"/>
    <tableColumn id="3" name="Actual" totalsRowFunction="sum" dataDxfId="1742" totalsRowDxfId="129" dataCellStyle="Comma"/>
    <tableColumn id="4" name="Difference" totalsRowFunction="sum" dataDxfId="1741" totalsRowDxfId="128" dataCellStyle="Comma">
      <calculatedColumnFormula>B52-C52</calculatedColumnFormula>
    </tableColumn>
  </tableColumns>
  <tableStyleInfo name="V42_ExpenseTable" showFirstColumn="0" showLastColumn="1" showRowStripes="0" showColumnStripes="0"/>
</table>
</file>

<file path=xl/tables/table90.xml><?xml version="1.0" encoding="utf-8"?>
<table xmlns="http://schemas.openxmlformats.org/spreadsheetml/2006/main" id="200" name="Table5201" displayName="Table5201" ref="A15:D29" totalsRowCount="1" headerRowDxfId="927" dataDxfId="925" headerRowBorderDxfId="926" tableBorderDxfId="924">
  <tableColumns count="4">
    <tableColumn id="1" name="HOME EXPENSES" totalsRowFunction="custom" dataDxfId="923" totalsRowDxfId="922">
      <totalsRowFormula>"Total " &amp; Table5201[[#Headers],[HOME EXPENSES]]</totalsRowFormula>
    </tableColumn>
    <tableColumn id="2" name="Budget" totalsRowFunction="sum" dataDxfId="921" totalsRowDxfId="920" dataCellStyle="Comma"/>
    <tableColumn id="3" name="Actual" totalsRowFunction="sum" dataDxfId="919" totalsRowDxfId="918" dataCellStyle="Comma"/>
    <tableColumn id="4" name="Difference" totalsRowFunction="sum" dataDxfId="917" totalsRowDxfId="916" dataCellStyle="Comma">
      <calculatedColumnFormula>B16-C16</calculatedColumnFormula>
    </tableColumn>
  </tableColumns>
  <tableStyleInfo name="V42_ExpenseTable" showFirstColumn="0" showLastColumn="1" showRowStripes="0" showColumnStripes="0"/>
</table>
</file>

<file path=xl/tables/table91.xml><?xml version="1.0" encoding="utf-8"?>
<table xmlns="http://schemas.openxmlformats.org/spreadsheetml/2006/main" id="201" name="Table6202" displayName="Table6202" ref="F10:I20" totalsRowCount="1" headerRowDxfId="915" dataDxfId="913" headerRowBorderDxfId="914" tableBorderDxfId="912">
  <tableColumns count="4">
    <tableColumn id="1" name="DAILY LIVING" totalsRowFunction="custom" dataDxfId="911" totalsRowDxfId="910">
      <totalsRowFormula>"Total " &amp; Table6202[[#Headers],[DAILY LIVING]]</totalsRowFormula>
    </tableColumn>
    <tableColumn id="2" name="Budget" totalsRowFunction="sum" dataDxfId="909" totalsRowDxfId="908" dataCellStyle="Comma"/>
    <tableColumn id="3" name="Actual" totalsRowFunction="sum" dataDxfId="907" totalsRowDxfId="906" dataCellStyle="Comma"/>
    <tableColumn id="4" name="Difference" totalsRowFunction="sum" dataDxfId="905" totalsRowDxfId="904" dataCellStyle="Comma">
      <calculatedColumnFormula>G11-H11</calculatedColumnFormula>
    </tableColumn>
  </tableColumns>
  <tableStyleInfo name="V42_ExpenseTable" showFirstColumn="0" showLastColumn="1" showRowStripes="0" showColumnStripes="0"/>
</table>
</file>

<file path=xl/tables/table92.xml><?xml version="1.0" encoding="utf-8"?>
<table xmlns="http://schemas.openxmlformats.org/spreadsheetml/2006/main" id="202" name="Table7203" displayName="Table7203" ref="F22:I37" totalsRowCount="1" headerRowDxfId="903" dataDxfId="901" headerRowBorderDxfId="902" tableBorderDxfId="900">
  <tableColumns count="4">
    <tableColumn id="1" name="Entertainment" totalsRowFunction="custom" dataDxfId="899" totalsRowDxfId="898">
      <totalsRowFormula>"Total " &amp; Table7203[[#Headers],[Entertainment]]</totalsRowFormula>
    </tableColumn>
    <tableColumn id="2" name="Budget" totalsRowFunction="sum" dataDxfId="897" totalsRowDxfId="896" dataCellStyle="Comma"/>
    <tableColumn id="3" name="Actual" totalsRowFunction="sum" dataDxfId="895" totalsRowDxfId="894" dataCellStyle="Comma"/>
    <tableColumn id="4" name="Difference" totalsRowFunction="sum" dataDxfId="893" totalsRowDxfId="892" dataCellStyle="Comma">
      <calculatedColumnFormula>G23-H23</calculatedColumnFormula>
    </tableColumn>
  </tableColumns>
  <tableStyleInfo name="V42_ExpenseTable" showFirstColumn="0" showLastColumn="1" showRowStripes="0" showColumnStripes="0"/>
</table>
</file>

<file path=xl/tables/table93.xml><?xml version="1.0" encoding="utf-8"?>
<table xmlns="http://schemas.openxmlformats.org/spreadsheetml/2006/main" id="203" name="Table8204" displayName="Table8204" ref="F39:I46" totalsRowCount="1" headerRowDxfId="891" dataDxfId="889" headerRowBorderDxfId="890" tableBorderDxfId="888">
  <tableColumns count="4">
    <tableColumn id="1" name="SAVINGS" totalsRowFunction="custom" dataDxfId="887" totalsRowDxfId="886">
      <totalsRowFormula>"Total " &amp; Table8204[[#Headers],[SAVINGS]]</totalsRowFormula>
    </tableColumn>
    <tableColumn id="2" name="Budget" totalsRowFunction="sum" dataDxfId="885" totalsRowDxfId="884"/>
    <tableColumn id="3" name="Actual" totalsRowFunction="sum" dataDxfId="883" totalsRowDxfId="882"/>
    <tableColumn id="4" name="Difference" totalsRowFunction="sum" dataDxfId="881" totalsRowDxfId="880" dataCellStyle="Comma">
      <calculatedColumnFormula>G40-H40</calculatedColumnFormula>
    </tableColumn>
  </tableColumns>
  <tableStyleInfo name="V42_ExpenseTable" showFirstColumn="0" showLastColumn="1" showRowStripes="0" showColumnStripes="0"/>
</table>
</file>

<file path=xl/tables/table94.xml><?xml version="1.0" encoding="utf-8"?>
<table xmlns="http://schemas.openxmlformats.org/spreadsheetml/2006/main" id="204" name="Table10205" displayName="Table10205" ref="F48:I56" totalsRowCount="1" headerRowDxfId="879" dataDxfId="877" headerRowBorderDxfId="878">
  <tableColumns count="4">
    <tableColumn id="1" name="OBLIGATIONS" totalsRowFunction="custom" dataDxfId="876" totalsRowDxfId="875">
      <totalsRowFormula>"Total " &amp; Table10205[[#Headers],[OBLIGATIONS]]</totalsRowFormula>
    </tableColumn>
    <tableColumn id="2" name="Budget" totalsRowFunction="sum" dataDxfId="874" totalsRowDxfId="873" dataCellStyle="Comma"/>
    <tableColumn id="3" name="Actual" totalsRowFunction="sum" dataDxfId="872" totalsRowDxfId="871" dataCellStyle="Comma"/>
    <tableColumn id="4" name="Difference" totalsRowFunction="sum" dataDxfId="870" totalsRowDxfId="869" dataCellStyle="Comma">
      <calculatedColumnFormula>G49-H49</calculatedColumnFormula>
    </tableColumn>
  </tableColumns>
  <tableStyleInfo name="V42_ExpenseTable" showFirstColumn="0" showLastColumn="1" showRowStripes="0" showColumnStripes="0"/>
</table>
</file>

<file path=xl/tables/table95.xml><?xml version="1.0" encoding="utf-8"?>
<table xmlns="http://schemas.openxmlformats.org/spreadsheetml/2006/main" id="205" name="Table14206" displayName="Table14206" ref="F58:I63" totalsRowCount="1" headerRowDxfId="868" dataDxfId="866" headerRowBorderDxfId="867" tableBorderDxfId="865">
  <tableColumns count="4">
    <tableColumn id="1" name="MISCELLANEOUS" totalsRowFunction="custom" dataDxfId="864" totalsRowDxfId="863">
      <totalsRowFormula>"Total " &amp; Table14206[[#Headers],[MISCELLANEOUS]]</totalsRowFormula>
    </tableColumn>
    <tableColumn id="2" name="Budget" totalsRowFunction="sum" dataDxfId="862" totalsRowDxfId="861" dataCellStyle="Comma"/>
    <tableColumn id="3" name="Actual" totalsRowFunction="sum" dataDxfId="860" totalsRowDxfId="859" dataCellStyle="Comma"/>
    <tableColumn id="4" name="Difference" totalsRowFunction="sum" dataDxfId="858" totalsRowDxfId="857" dataCellStyle="Comma">
      <calculatedColumnFormula>G59-H59</calculatedColumnFormula>
    </tableColumn>
  </tableColumns>
  <tableStyleInfo name="V42_ExpenseTable" showFirstColumn="0" showLastColumn="1" showRowStripes="0" showColumnStripes="0"/>
</table>
</file>

<file path=xl/tables/table96.xml><?xml version="1.0" encoding="utf-8"?>
<table xmlns="http://schemas.openxmlformats.org/spreadsheetml/2006/main" id="206" name="Table15207" displayName="Table15207" ref="A58:D63" totalsRowCount="1" headerRowDxfId="856" dataDxfId="854" headerRowBorderDxfId="855" tableBorderDxfId="853">
  <tableColumns count="4">
    <tableColumn id="1" name="SUBSCRIPTIONS" totalsRowFunction="custom" dataDxfId="852" totalsRowDxfId="851">
      <totalsRowFormula>"Total " &amp; Table15207[[#Headers],[SUBSCRIPTIONS]]</totalsRowFormula>
    </tableColumn>
    <tableColumn id="2" name="Budget" totalsRowFunction="sum" dataDxfId="850" totalsRowDxfId="849" dataCellStyle="Comma"/>
    <tableColumn id="3" name="Actual" totalsRowFunction="sum" dataDxfId="848" totalsRowDxfId="847" dataCellStyle="Comma"/>
    <tableColumn id="4" name="Difference" totalsRowFunction="sum" dataDxfId="846" totalsRowDxfId="845" dataCellStyle="Comma">
      <calculatedColumnFormula>B59-C59</calculatedColumnFormula>
    </tableColumn>
  </tableColumns>
  <tableStyleInfo name="V42_ExpenseTable" showFirstColumn="0" showLastColumn="1" showRowStripes="0" showColumnStripes="0"/>
</table>
</file>

<file path=xl/tables/table97.xml><?xml version="1.0" encoding="utf-8"?>
<table xmlns="http://schemas.openxmlformats.org/spreadsheetml/2006/main" id="207" name="Table19208" displayName="Table19208" ref="A51:D56" totalsRowCount="1" headerRowDxfId="844" dataDxfId="842" headerRowBorderDxfId="843" tableBorderDxfId="841">
  <tableColumns count="4">
    <tableColumn id="1" name="CHARITY/GIFTS" totalsRowFunction="custom" dataDxfId="840" totalsRowDxfId="839">
      <totalsRowFormula>"Total " &amp; Table19208[[#Headers],[CHARITY/GIFTS]]</totalsRowFormula>
    </tableColumn>
    <tableColumn id="2" name="Budget" totalsRowFunction="sum" dataDxfId="838" totalsRowDxfId="837" dataCellStyle="Comma"/>
    <tableColumn id="3" name="Actual" totalsRowFunction="sum" dataDxfId="836" totalsRowDxfId="835" dataCellStyle="Comma"/>
    <tableColumn id="4" name="Difference" totalsRowFunction="sum" dataDxfId="834" totalsRowDxfId="833" dataCellStyle="Comma">
      <calculatedColumnFormula>B52-C52</calculatedColumnFormula>
    </tableColumn>
  </tableColumns>
  <tableStyleInfo name="V42_ExpenseTable" showFirstColumn="0" showLastColumn="1" showRowStripes="0" showColumnStripes="0"/>
</table>
</file>

<file path=xl/tables/table98.xml><?xml version="1.0" encoding="utf-8"?>
<table xmlns="http://schemas.openxmlformats.org/spreadsheetml/2006/main" id="208" name="Table20209" displayName="Table20209" ref="A31:D39" totalsRowCount="1" headerRowDxfId="832" dataDxfId="830" headerRowBorderDxfId="831" tableBorderDxfId="829">
  <tableColumns count="4">
    <tableColumn id="1" name="TRANSPORTATION" totalsRowFunction="custom" dataDxfId="828" totalsRowDxfId="827">
      <totalsRowFormula>"Total " &amp; Table20209[[#Headers],[TRANSPORTATION]]</totalsRowFormula>
    </tableColumn>
    <tableColumn id="2" name="Budget" totalsRowFunction="sum" dataDxfId="826" totalsRowDxfId="825" dataCellStyle="Comma"/>
    <tableColumn id="3" name="Actual" totalsRowFunction="sum" dataDxfId="824" totalsRowDxfId="823" dataCellStyle="Comma"/>
    <tableColumn id="4" name="Difference" totalsRowFunction="sum" dataDxfId="822" totalsRowDxfId="821" dataCellStyle="Comma">
      <calculatedColumnFormula>B32-C32</calculatedColumnFormula>
    </tableColumn>
  </tableColumns>
  <tableStyleInfo name="V42_ExpenseTable" showFirstColumn="0" showLastColumn="1" showRowStripes="0" showColumnStripes="0"/>
</table>
</file>

<file path=xl/tables/table99.xml><?xml version="1.0" encoding="utf-8"?>
<table xmlns="http://schemas.openxmlformats.org/spreadsheetml/2006/main" id="209" name="Table21210" displayName="Table21210" ref="A41:D49" totalsRowCount="1" headerRowDxfId="820" dataDxfId="818" headerRowBorderDxfId="819" tableBorderDxfId="817">
  <tableColumns count="4">
    <tableColumn id="1" name="HEALTH" totalsRowFunction="custom" dataDxfId="816" totalsRowDxfId="815">
      <totalsRowFormula>"Total " &amp; Table21210[[#Headers],[HEALTH]]</totalsRowFormula>
    </tableColumn>
    <tableColumn id="2" name="Budget" totalsRowFunction="sum" dataDxfId="814" totalsRowDxfId="813" dataCellStyle="Comma"/>
    <tableColumn id="3" name="Actual" totalsRowFunction="sum" dataDxfId="812" totalsRowDxfId="811" dataCellStyle="Comma"/>
    <tableColumn id="4" name="Difference" totalsRowFunction="sum" dataDxfId="810" totalsRowDxfId="809" dataCellStyle="Comma">
      <calculatedColumnFormula>B42-C42</calculatedColumnFormula>
    </tableColumn>
  </tableColumns>
  <tableStyleInfo name="V42_ExpenseTable" showFirstColumn="0" showLastColumn="1" showRowStripes="0" showColumnStripes="0"/>
</table>
</file>

<file path=xl/theme/theme1.xml><?xml version="1.0" encoding="utf-8"?>
<a:theme xmlns:a="http://schemas.openxmlformats.org/drawingml/2006/main" name="Vertex42">
  <a:themeElements>
    <a:clrScheme name="Custom 1">
      <a:dk1>
        <a:sysClr val="windowText" lastClr="000000"/>
      </a:dk1>
      <a:lt1>
        <a:sysClr val="window" lastClr="FFFFFF"/>
      </a:lt1>
      <a:dk2>
        <a:srgbClr val="000000"/>
      </a:dk2>
      <a:lt2>
        <a:srgbClr val="EEECE2"/>
      </a:lt2>
      <a:accent1>
        <a:srgbClr val="00B050"/>
      </a:accent1>
      <a:accent2>
        <a:srgbClr val="BF0000"/>
      </a:accent2>
      <a:accent3>
        <a:srgbClr val="3D8A16"/>
      </a:accent3>
      <a:accent4>
        <a:srgbClr val="00B050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Vertex42">
      <a:majorFont>
        <a:latin typeface="Arial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07.xml"/><Relationship Id="rId3" Type="http://schemas.openxmlformats.org/officeDocument/2006/relationships/table" Target="../tables/table102.xml"/><Relationship Id="rId7" Type="http://schemas.openxmlformats.org/officeDocument/2006/relationships/table" Target="../tables/table106.xml"/><Relationship Id="rId2" Type="http://schemas.openxmlformats.org/officeDocument/2006/relationships/table" Target="../tables/table101.xml"/><Relationship Id="rId1" Type="http://schemas.openxmlformats.org/officeDocument/2006/relationships/table" Target="../tables/table100.xml"/><Relationship Id="rId6" Type="http://schemas.openxmlformats.org/officeDocument/2006/relationships/table" Target="../tables/table105.xml"/><Relationship Id="rId11" Type="http://schemas.openxmlformats.org/officeDocument/2006/relationships/table" Target="../tables/table110.xml"/><Relationship Id="rId5" Type="http://schemas.openxmlformats.org/officeDocument/2006/relationships/table" Target="../tables/table104.xml"/><Relationship Id="rId10" Type="http://schemas.openxmlformats.org/officeDocument/2006/relationships/table" Target="../tables/table109.xml"/><Relationship Id="rId4" Type="http://schemas.openxmlformats.org/officeDocument/2006/relationships/table" Target="../tables/table103.xml"/><Relationship Id="rId9" Type="http://schemas.openxmlformats.org/officeDocument/2006/relationships/table" Target="../tables/table108.xm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18.xml"/><Relationship Id="rId3" Type="http://schemas.openxmlformats.org/officeDocument/2006/relationships/table" Target="../tables/table113.xml"/><Relationship Id="rId7" Type="http://schemas.openxmlformats.org/officeDocument/2006/relationships/table" Target="../tables/table117.xml"/><Relationship Id="rId2" Type="http://schemas.openxmlformats.org/officeDocument/2006/relationships/table" Target="../tables/table112.xml"/><Relationship Id="rId1" Type="http://schemas.openxmlformats.org/officeDocument/2006/relationships/table" Target="../tables/table111.xml"/><Relationship Id="rId6" Type="http://schemas.openxmlformats.org/officeDocument/2006/relationships/table" Target="../tables/table116.xml"/><Relationship Id="rId11" Type="http://schemas.openxmlformats.org/officeDocument/2006/relationships/table" Target="../tables/table121.xml"/><Relationship Id="rId5" Type="http://schemas.openxmlformats.org/officeDocument/2006/relationships/table" Target="../tables/table115.xml"/><Relationship Id="rId10" Type="http://schemas.openxmlformats.org/officeDocument/2006/relationships/table" Target="../tables/table120.xml"/><Relationship Id="rId4" Type="http://schemas.openxmlformats.org/officeDocument/2006/relationships/table" Target="../tables/table114.xml"/><Relationship Id="rId9" Type="http://schemas.openxmlformats.org/officeDocument/2006/relationships/table" Target="../tables/table119.xm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29.xml"/><Relationship Id="rId3" Type="http://schemas.openxmlformats.org/officeDocument/2006/relationships/table" Target="../tables/table124.xml"/><Relationship Id="rId7" Type="http://schemas.openxmlformats.org/officeDocument/2006/relationships/table" Target="../tables/table128.xml"/><Relationship Id="rId2" Type="http://schemas.openxmlformats.org/officeDocument/2006/relationships/table" Target="../tables/table123.xml"/><Relationship Id="rId1" Type="http://schemas.openxmlformats.org/officeDocument/2006/relationships/table" Target="../tables/table122.xml"/><Relationship Id="rId6" Type="http://schemas.openxmlformats.org/officeDocument/2006/relationships/table" Target="../tables/table127.xml"/><Relationship Id="rId11" Type="http://schemas.openxmlformats.org/officeDocument/2006/relationships/table" Target="../tables/table132.xml"/><Relationship Id="rId5" Type="http://schemas.openxmlformats.org/officeDocument/2006/relationships/table" Target="../tables/table126.xml"/><Relationship Id="rId10" Type="http://schemas.openxmlformats.org/officeDocument/2006/relationships/table" Target="../tables/table131.xml"/><Relationship Id="rId4" Type="http://schemas.openxmlformats.org/officeDocument/2006/relationships/table" Target="../tables/table125.xml"/><Relationship Id="rId9" Type="http://schemas.openxmlformats.org/officeDocument/2006/relationships/table" Target="../tables/table130.xm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39.xml"/><Relationship Id="rId3" Type="http://schemas.openxmlformats.org/officeDocument/2006/relationships/table" Target="../tables/table134.xml"/><Relationship Id="rId7" Type="http://schemas.openxmlformats.org/officeDocument/2006/relationships/table" Target="../tables/table138.xml"/><Relationship Id="rId12" Type="http://schemas.openxmlformats.org/officeDocument/2006/relationships/table" Target="../tables/table143.xml"/><Relationship Id="rId2" Type="http://schemas.openxmlformats.org/officeDocument/2006/relationships/table" Target="../tables/table133.xml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137.xml"/><Relationship Id="rId11" Type="http://schemas.openxmlformats.org/officeDocument/2006/relationships/table" Target="../tables/table142.xml"/><Relationship Id="rId5" Type="http://schemas.openxmlformats.org/officeDocument/2006/relationships/table" Target="../tables/table136.xml"/><Relationship Id="rId10" Type="http://schemas.openxmlformats.org/officeDocument/2006/relationships/table" Target="../tables/table141.xml"/><Relationship Id="rId4" Type="http://schemas.openxmlformats.org/officeDocument/2006/relationships/table" Target="../tables/table135.xml"/><Relationship Id="rId9" Type="http://schemas.openxmlformats.org/officeDocument/2006/relationships/table" Target="../tables/table140.xml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51.xml"/><Relationship Id="rId3" Type="http://schemas.openxmlformats.org/officeDocument/2006/relationships/table" Target="../tables/table146.xml"/><Relationship Id="rId7" Type="http://schemas.openxmlformats.org/officeDocument/2006/relationships/table" Target="../tables/table150.xml"/><Relationship Id="rId2" Type="http://schemas.openxmlformats.org/officeDocument/2006/relationships/table" Target="../tables/table145.xml"/><Relationship Id="rId1" Type="http://schemas.openxmlformats.org/officeDocument/2006/relationships/table" Target="../tables/table144.xml"/><Relationship Id="rId6" Type="http://schemas.openxmlformats.org/officeDocument/2006/relationships/table" Target="../tables/table149.xml"/><Relationship Id="rId11" Type="http://schemas.openxmlformats.org/officeDocument/2006/relationships/table" Target="../tables/table154.xml"/><Relationship Id="rId5" Type="http://schemas.openxmlformats.org/officeDocument/2006/relationships/table" Target="../tables/table148.xml"/><Relationship Id="rId10" Type="http://schemas.openxmlformats.org/officeDocument/2006/relationships/table" Target="../tables/table153.xml"/><Relationship Id="rId4" Type="http://schemas.openxmlformats.org/officeDocument/2006/relationships/table" Target="../tables/table147.xml"/><Relationship Id="rId9" Type="http://schemas.openxmlformats.org/officeDocument/2006/relationships/table" Target="../tables/table152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8.xml"/><Relationship Id="rId3" Type="http://schemas.openxmlformats.org/officeDocument/2006/relationships/table" Target="../tables/table13.xml"/><Relationship Id="rId7" Type="http://schemas.openxmlformats.org/officeDocument/2006/relationships/table" Target="../tables/table17.xml"/><Relationship Id="rId12" Type="http://schemas.openxmlformats.org/officeDocument/2006/relationships/table" Target="../tables/table22.xml"/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16.xml"/><Relationship Id="rId11" Type="http://schemas.openxmlformats.org/officeDocument/2006/relationships/table" Target="../tables/table21.xml"/><Relationship Id="rId5" Type="http://schemas.openxmlformats.org/officeDocument/2006/relationships/table" Target="../tables/table15.xml"/><Relationship Id="rId10" Type="http://schemas.openxmlformats.org/officeDocument/2006/relationships/table" Target="../tables/table20.xml"/><Relationship Id="rId4" Type="http://schemas.openxmlformats.org/officeDocument/2006/relationships/table" Target="../tables/table14.xml"/><Relationship Id="rId9" Type="http://schemas.openxmlformats.org/officeDocument/2006/relationships/table" Target="../tables/table19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30.xml"/><Relationship Id="rId3" Type="http://schemas.openxmlformats.org/officeDocument/2006/relationships/table" Target="../tables/table25.xml"/><Relationship Id="rId7" Type="http://schemas.openxmlformats.org/officeDocument/2006/relationships/table" Target="../tables/table29.xml"/><Relationship Id="rId2" Type="http://schemas.openxmlformats.org/officeDocument/2006/relationships/table" Target="../tables/table24.xml"/><Relationship Id="rId1" Type="http://schemas.openxmlformats.org/officeDocument/2006/relationships/table" Target="../tables/table23.xml"/><Relationship Id="rId6" Type="http://schemas.openxmlformats.org/officeDocument/2006/relationships/table" Target="../tables/table28.xml"/><Relationship Id="rId11" Type="http://schemas.openxmlformats.org/officeDocument/2006/relationships/table" Target="../tables/table33.xml"/><Relationship Id="rId5" Type="http://schemas.openxmlformats.org/officeDocument/2006/relationships/table" Target="../tables/table27.xml"/><Relationship Id="rId10" Type="http://schemas.openxmlformats.org/officeDocument/2006/relationships/table" Target="../tables/table32.xml"/><Relationship Id="rId4" Type="http://schemas.openxmlformats.org/officeDocument/2006/relationships/table" Target="../tables/table26.xml"/><Relationship Id="rId9" Type="http://schemas.openxmlformats.org/officeDocument/2006/relationships/table" Target="../tables/table31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table" Target="../tables/table41.xml"/><Relationship Id="rId3" Type="http://schemas.openxmlformats.org/officeDocument/2006/relationships/table" Target="../tables/table36.xml"/><Relationship Id="rId7" Type="http://schemas.openxmlformats.org/officeDocument/2006/relationships/table" Target="../tables/table40.xml"/><Relationship Id="rId2" Type="http://schemas.openxmlformats.org/officeDocument/2006/relationships/table" Target="../tables/table35.xml"/><Relationship Id="rId1" Type="http://schemas.openxmlformats.org/officeDocument/2006/relationships/table" Target="../tables/table34.xml"/><Relationship Id="rId6" Type="http://schemas.openxmlformats.org/officeDocument/2006/relationships/table" Target="../tables/table39.xml"/><Relationship Id="rId11" Type="http://schemas.openxmlformats.org/officeDocument/2006/relationships/table" Target="../tables/table44.xml"/><Relationship Id="rId5" Type="http://schemas.openxmlformats.org/officeDocument/2006/relationships/table" Target="../tables/table38.xml"/><Relationship Id="rId10" Type="http://schemas.openxmlformats.org/officeDocument/2006/relationships/table" Target="../tables/table43.xml"/><Relationship Id="rId4" Type="http://schemas.openxmlformats.org/officeDocument/2006/relationships/table" Target="../tables/table37.xml"/><Relationship Id="rId9" Type="http://schemas.openxmlformats.org/officeDocument/2006/relationships/table" Target="../tables/table42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table" Target="../tables/table52.xml"/><Relationship Id="rId3" Type="http://schemas.openxmlformats.org/officeDocument/2006/relationships/table" Target="../tables/table47.xml"/><Relationship Id="rId7" Type="http://schemas.openxmlformats.org/officeDocument/2006/relationships/table" Target="../tables/table51.xml"/><Relationship Id="rId2" Type="http://schemas.openxmlformats.org/officeDocument/2006/relationships/table" Target="../tables/table46.xml"/><Relationship Id="rId1" Type="http://schemas.openxmlformats.org/officeDocument/2006/relationships/table" Target="../tables/table45.xml"/><Relationship Id="rId6" Type="http://schemas.openxmlformats.org/officeDocument/2006/relationships/table" Target="../tables/table50.xml"/><Relationship Id="rId11" Type="http://schemas.openxmlformats.org/officeDocument/2006/relationships/table" Target="../tables/table55.xml"/><Relationship Id="rId5" Type="http://schemas.openxmlformats.org/officeDocument/2006/relationships/table" Target="../tables/table49.xml"/><Relationship Id="rId10" Type="http://schemas.openxmlformats.org/officeDocument/2006/relationships/table" Target="../tables/table54.xml"/><Relationship Id="rId4" Type="http://schemas.openxmlformats.org/officeDocument/2006/relationships/table" Target="../tables/table48.xml"/><Relationship Id="rId9" Type="http://schemas.openxmlformats.org/officeDocument/2006/relationships/table" Target="../tables/table53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3.xml"/><Relationship Id="rId3" Type="http://schemas.openxmlformats.org/officeDocument/2006/relationships/table" Target="../tables/table58.xml"/><Relationship Id="rId7" Type="http://schemas.openxmlformats.org/officeDocument/2006/relationships/table" Target="../tables/table62.xml"/><Relationship Id="rId2" Type="http://schemas.openxmlformats.org/officeDocument/2006/relationships/table" Target="../tables/table57.xml"/><Relationship Id="rId1" Type="http://schemas.openxmlformats.org/officeDocument/2006/relationships/table" Target="../tables/table56.xml"/><Relationship Id="rId6" Type="http://schemas.openxmlformats.org/officeDocument/2006/relationships/table" Target="../tables/table61.xml"/><Relationship Id="rId11" Type="http://schemas.openxmlformats.org/officeDocument/2006/relationships/table" Target="../tables/table66.xml"/><Relationship Id="rId5" Type="http://schemas.openxmlformats.org/officeDocument/2006/relationships/table" Target="../tables/table60.xml"/><Relationship Id="rId10" Type="http://schemas.openxmlformats.org/officeDocument/2006/relationships/table" Target="../tables/table65.xml"/><Relationship Id="rId4" Type="http://schemas.openxmlformats.org/officeDocument/2006/relationships/table" Target="../tables/table59.xml"/><Relationship Id="rId9" Type="http://schemas.openxmlformats.org/officeDocument/2006/relationships/table" Target="../tables/table64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4.xml"/><Relationship Id="rId3" Type="http://schemas.openxmlformats.org/officeDocument/2006/relationships/table" Target="../tables/table69.xml"/><Relationship Id="rId7" Type="http://schemas.openxmlformats.org/officeDocument/2006/relationships/table" Target="../tables/table73.xml"/><Relationship Id="rId2" Type="http://schemas.openxmlformats.org/officeDocument/2006/relationships/table" Target="../tables/table68.xml"/><Relationship Id="rId1" Type="http://schemas.openxmlformats.org/officeDocument/2006/relationships/table" Target="../tables/table67.xml"/><Relationship Id="rId6" Type="http://schemas.openxmlformats.org/officeDocument/2006/relationships/table" Target="../tables/table72.xml"/><Relationship Id="rId11" Type="http://schemas.openxmlformats.org/officeDocument/2006/relationships/table" Target="../tables/table77.xml"/><Relationship Id="rId5" Type="http://schemas.openxmlformats.org/officeDocument/2006/relationships/table" Target="../tables/table71.xml"/><Relationship Id="rId10" Type="http://schemas.openxmlformats.org/officeDocument/2006/relationships/table" Target="../tables/table76.xml"/><Relationship Id="rId4" Type="http://schemas.openxmlformats.org/officeDocument/2006/relationships/table" Target="../tables/table70.xml"/><Relationship Id="rId9" Type="http://schemas.openxmlformats.org/officeDocument/2006/relationships/table" Target="../tables/table75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5.xml"/><Relationship Id="rId3" Type="http://schemas.openxmlformats.org/officeDocument/2006/relationships/table" Target="../tables/table80.xml"/><Relationship Id="rId7" Type="http://schemas.openxmlformats.org/officeDocument/2006/relationships/table" Target="../tables/table84.xml"/><Relationship Id="rId2" Type="http://schemas.openxmlformats.org/officeDocument/2006/relationships/table" Target="../tables/table79.xml"/><Relationship Id="rId1" Type="http://schemas.openxmlformats.org/officeDocument/2006/relationships/table" Target="../tables/table78.xml"/><Relationship Id="rId6" Type="http://schemas.openxmlformats.org/officeDocument/2006/relationships/table" Target="../tables/table83.xml"/><Relationship Id="rId11" Type="http://schemas.openxmlformats.org/officeDocument/2006/relationships/table" Target="../tables/table88.xml"/><Relationship Id="rId5" Type="http://schemas.openxmlformats.org/officeDocument/2006/relationships/table" Target="../tables/table82.xml"/><Relationship Id="rId10" Type="http://schemas.openxmlformats.org/officeDocument/2006/relationships/table" Target="../tables/table87.xml"/><Relationship Id="rId4" Type="http://schemas.openxmlformats.org/officeDocument/2006/relationships/table" Target="../tables/table81.xml"/><Relationship Id="rId9" Type="http://schemas.openxmlformats.org/officeDocument/2006/relationships/table" Target="../tables/table86.xm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table" Target="../tables/table96.xml"/><Relationship Id="rId3" Type="http://schemas.openxmlformats.org/officeDocument/2006/relationships/table" Target="../tables/table91.xml"/><Relationship Id="rId7" Type="http://schemas.openxmlformats.org/officeDocument/2006/relationships/table" Target="../tables/table95.xml"/><Relationship Id="rId2" Type="http://schemas.openxmlformats.org/officeDocument/2006/relationships/table" Target="../tables/table90.xml"/><Relationship Id="rId1" Type="http://schemas.openxmlformats.org/officeDocument/2006/relationships/table" Target="../tables/table89.xml"/><Relationship Id="rId6" Type="http://schemas.openxmlformats.org/officeDocument/2006/relationships/table" Target="../tables/table94.xml"/><Relationship Id="rId11" Type="http://schemas.openxmlformats.org/officeDocument/2006/relationships/table" Target="../tables/table99.xml"/><Relationship Id="rId5" Type="http://schemas.openxmlformats.org/officeDocument/2006/relationships/table" Target="../tables/table93.xml"/><Relationship Id="rId10" Type="http://schemas.openxmlformats.org/officeDocument/2006/relationships/table" Target="../tables/table98.xml"/><Relationship Id="rId4" Type="http://schemas.openxmlformats.org/officeDocument/2006/relationships/table" Target="../tables/table92.xml"/><Relationship Id="rId9" Type="http://schemas.openxmlformats.org/officeDocument/2006/relationships/table" Target="../tables/table9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I157"/>
  <sheetViews>
    <sheetView showGridLines="0" topLeftCell="A36" workbookViewId="0">
      <selection activeCell="H50" sqref="H50"/>
    </sheetView>
  </sheetViews>
  <sheetFormatPr defaultColWidth="9" defaultRowHeight="14.4" x14ac:dyDescent="0.35"/>
  <cols>
    <col min="1" max="1" width="25.3984375" style="1" customWidth="1"/>
    <col min="2" max="3" width="9.59765625" style="1" customWidth="1"/>
    <col min="4" max="4" width="10" style="1" bestFit="1" customWidth="1"/>
    <col min="5" max="5" width="2.59765625" style="1" customWidth="1"/>
    <col min="6" max="6" width="21.5" style="1" customWidth="1"/>
    <col min="7" max="8" width="9.59765625" style="1" customWidth="1"/>
    <col min="9" max="9" width="11.09765625" style="1" customWidth="1"/>
    <col min="10" max="16384" width="9" style="1"/>
  </cols>
  <sheetData>
    <row r="1" spans="1:9" ht="26.1" customHeight="1" x14ac:dyDescent="0.35">
      <c r="A1" s="34" t="s">
        <v>90</v>
      </c>
      <c r="B1" s="34"/>
      <c r="C1" s="34"/>
      <c r="D1" s="34"/>
      <c r="E1" s="34"/>
      <c r="F1" s="34"/>
      <c r="G1" s="34"/>
      <c r="H1" s="34"/>
      <c r="I1" s="34"/>
    </row>
    <row r="2" spans="1:9" s="2" customFormat="1" ht="13.8" x14ac:dyDescent="0.3">
      <c r="A2" s="35"/>
      <c r="B2" s="33"/>
      <c r="C2" s="33"/>
      <c r="D2" s="33"/>
      <c r="E2" s="31"/>
      <c r="F2" s="31"/>
      <c r="G2" s="32"/>
      <c r="H2" s="47"/>
      <c r="I2" s="47"/>
    </row>
    <row r="3" spans="1:9" s="2" customFormat="1" ht="12" x14ac:dyDescent="0.3">
      <c r="E3" s="3"/>
    </row>
    <row r="4" spans="1:9" x14ac:dyDescent="0.35">
      <c r="A4" s="21" t="s">
        <v>1</v>
      </c>
      <c r="B4" s="22" t="s">
        <v>49</v>
      </c>
      <c r="C4" s="23" t="s">
        <v>0</v>
      </c>
      <c r="D4" s="23" t="s">
        <v>46</v>
      </c>
      <c r="E4" s="18" t="s">
        <v>48</v>
      </c>
      <c r="F4" s="26" t="s">
        <v>51</v>
      </c>
      <c r="G4" s="27" t="s">
        <v>49</v>
      </c>
      <c r="H4" s="27" t="s">
        <v>0</v>
      </c>
      <c r="I4" s="27" t="s">
        <v>46</v>
      </c>
    </row>
    <row r="5" spans="1:9" x14ac:dyDescent="0.35">
      <c r="A5" s="4" t="s">
        <v>7</v>
      </c>
      <c r="B5" s="9">
        <v>0</v>
      </c>
      <c r="C5" s="9">
        <v>0</v>
      </c>
      <c r="D5" s="10">
        <f t="shared" ref="D5:D11" si="0">C5-B5</f>
        <v>0</v>
      </c>
      <c r="E5" s="8"/>
      <c r="F5" s="28" t="s">
        <v>2</v>
      </c>
      <c r="G5" s="25" t="str">
        <f>Table2[[#Totals],[Budget]]</f>
        <v>0.00</v>
      </c>
      <c r="H5" s="25">
        <f>Table2[[#Totals],[Actual]]</f>
        <v>0</v>
      </c>
      <c r="I5" s="25">
        <f>G5-H5</f>
        <v>0</v>
      </c>
    </row>
    <row r="6" spans="1:9" ht="15" thickBot="1" x14ac:dyDescent="0.4">
      <c r="A6" s="4" t="s">
        <v>119</v>
      </c>
      <c r="B6" s="9">
        <v>0</v>
      </c>
      <c r="C6" s="9">
        <v>0</v>
      </c>
      <c r="D6" s="10">
        <f t="shared" si="0"/>
        <v>0</v>
      </c>
      <c r="E6" s="8"/>
      <c r="F6" s="28" t="s">
        <v>3</v>
      </c>
      <c r="G6" s="25">
        <f>SUM(,Table5[[#Totals],[Budget]],Table20[[#Totals],[Budget]],Table21[[#Totals],[Budget]],Table19[[#Totals],[Budget]],Table15[[#Totals],[Budget]],Table14[[#Totals],[Budget]],Table10[[#Totals],[Budget]],Table8[[#Totals],[Budget]],Table7[[#Totals],[Budget]],Table6[[#Totals],[Budget]])</f>
        <v>0</v>
      </c>
      <c r="H6" s="25">
        <f>SUM(Table5[[#Totals],[Actual]],Table20[[#Totals],[Actual]],Table21[[#Totals],[Actual]],Table19[[#Totals],[Actual]],Table15[[#Totals],[Actual]],Table14[[#Totals],[Actual]],Table10[[#Totals],[Actual]],Table8[[#Totals],[Actual]],Table7[[#Totals],[Actual]],Table6[[#Totals],[Actual]])</f>
        <v>0</v>
      </c>
      <c r="I6" s="25">
        <f>G6-H6</f>
        <v>0</v>
      </c>
    </row>
    <row r="7" spans="1:9" ht="15" thickTop="1" x14ac:dyDescent="0.35">
      <c r="A7" s="4" t="s">
        <v>94</v>
      </c>
      <c r="B7" s="9">
        <v>0</v>
      </c>
      <c r="C7" s="9">
        <v>0</v>
      </c>
      <c r="D7" s="10">
        <f t="shared" si="0"/>
        <v>0</v>
      </c>
      <c r="E7" s="8"/>
      <c r="F7" s="29" t="s">
        <v>4</v>
      </c>
      <c r="G7" s="30">
        <f>G5-G6</f>
        <v>0</v>
      </c>
      <c r="H7" s="30">
        <f>H5-H6</f>
        <v>0</v>
      </c>
      <c r="I7" s="30">
        <f>H7-G7</f>
        <v>0</v>
      </c>
    </row>
    <row r="8" spans="1:9" s="2" customFormat="1" x14ac:dyDescent="0.35">
      <c r="A8" s="4" t="s">
        <v>121</v>
      </c>
      <c r="B8" s="9">
        <v>0</v>
      </c>
      <c r="C8" s="9">
        <v>0</v>
      </c>
      <c r="D8" s="10">
        <f t="shared" si="0"/>
        <v>0</v>
      </c>
      <c r="E8" s="11"/>
      <c r="F8" s="11"/>
      <c r="G8" s="11"/>
      <c r="H8" s="11"/>
      <c r="I8" s="11"/>
    </row>
    <row r="9" spans="1:9" x14ac:dyDescent="0.35">
      <c r="A9" s="4" t="s">
        <v>50</v>
      </c>
      <c r="B9" s="9">
        <v>0</v>
      </c>
      <c r="C9" s="9">
        <v>0</v>
      </c>
      <c r="D9" s="10">
        <f t="shared" si="0"/>
        <v>0</v>
      </c>
      <c r="E9" s="8"/>
      <c r="F9" s="11"/>
      <c r="G9" s="11"/>
      <c r="H9" s="11"/>
      <c r="I9" s="11"/>
    </row>
    <row r="10" spans="1:9" x14ac:dyDescent="0.35">
      <c r="A10" s="4" t="s">
        <v>47</v>
      </c>
      <c r="B10" s="9">
        <v>0</v>
      </c>
      <c r="C10" s="9">
        <v>0</v>
      </c>
      <c r="D10" s="10">
        <f t="shared" si="0"/>
        <v>0</v>
      </c>
      <c r="E10" s="8"/>
      <c r="F10" s="21" t="s">
        <v>26</v>
      </c>
      <c r="G10" s="22" t="s">
        <v>49</v>
      </c>
      <c r="H10" s="23" t="s">
        <v>0</v>
      </c>
      <c r="I10" s="23" t="s">
        <v>46</v>
      </c>
    </row>
    <row r="11" spans="1:9" x14ac:dyDescent="0.35">
      <c r="A11" s="4" t="s">
        <v>10</v>
      </c>
      <c r="B11" s="9">
        <v>0</v>
      </c>
      <c r="C11" s="9">
        <v>0</v>
      </c>
      <c r="D11" s="10">
        <f t="shared" si="0"/>
        <v>0</v>
      </c>
      <c r="E11" s="8"/>
      <c r="F11" s="4" t="s">
        <v>5</v>
      </c>
      <c r="G11" s="14">
        <v>0</v>
      </c>
      <c r="H11" s="14">
        <v>0</v>
      </c>
      <c r="I11" s="10">
        <f t="shared" ref="I11" si="1">G11-H11</f>
        <v>0</v>
      </c>
    </row>
    <row r="12" spans="1:9" x14ac:dyDescent="0.35">
      <c r="A12" s="4" t="s">
        <v>77</v>
      </c>
      <c r="B12" s="12">
        <v>0</v>
      </c>
      <c r="C12" s="12">
        <v>0</v>
      </c>
      <c r="D12" s="10">
        <f>C12-B12</f>
        <v>0</v>
      </c>
      <c r="E12" s="8"/>
      <c r="F12" s="4" t="s">
        <v>69</v>
      </c>
      <c r="G12" s="14">
        <v>0</v>
      </c>
      <c r="H12" s="14">
        <v>0</v>
      </c>
      <c r="I12" s="10">
        <f t="shared" ref="I12:I15" si="2">G12-H12</f>
        <v>0</v>
      </c>
    </row>
    <row r="13" spans="1:9" x14ac:dyDescent="0.35">
      <c r="A13" s="24" t="str">
        <f>"Total " &amp; Table2[[#Headers],[INCOME]]</f>
        <v>Total INCOME</v>
      </c>
      <c r="B13" s="19" t="s">
        <v>140</v>
      </c>
      <c r="C13" s="19">
        <f>SUBTOTAL(109,Table2[Actual])</f>
        <v>0</v>
      </c>
      <c r="D13" s="13">
        <f>SUBTOTAL(109,Table2[Difference])</f>
        <v>0</v>
      </c>
      <c r="E13" s="8"/>
      <c r="F13" s="4" t="s">
        <v>92</v>
      </c>
      <c r="G13" s="14">
        <v>0</v>
      </c>
      <c r="H13" s="14">
        <v>0</v>
      </c>
      <c r="I13" s="10">
        <f t="shared" si="2"/>
        <v>0</v>
      </c>
    </row>
    <row r="14" spans="1:9" x14ac:dyDescent="0.35">
      <c r="A14" s="8"/>
      <c r="B14" s="8"/>
      <c r="C14" s="8"/>
      <c r="D14" s="8"/>
      <c r="E14" s="8"/>
      <c r="F14" s="4" t="s">
        <v>57</v>
      </c>
      <c r="G14" s="14">
        <v>0</v>
      </c>
      <c r="H14" s="14">
        <v>0</v>
      </c>
      <c r="I14" s="10">
        <f t="shared" si="2"/>
        <v>0</v>
      </c>
    </row>
    <row r="15" spans="1:9" x14ac:dyDescent="0.35">
      <c r="A15" s="21" t="s">
        <v>9</v>
      </c>
      <c r="B15" s="22" t="s">
        <v>49</v>
      </c>
      <c r="C15" s="23" t="s">
        <v>0</v>
      </c>
      <c r="D15" s="23" t="s">
        <v>46</v>
      </c>
      <c r="E15" s="8"/>
      <c r="F15" s="4" t="s">
        <v>58</v>
      </c>
      <c r="G15" s="14">
        <v>0</v>
      </c>
      <c r="H15" s="14">
        <v>0</v>
      </c>
      <c r="I15" s="10">
        <f t="shared" si="2"/>
        <v>0</v>
      </c>
    </row>
    <row r="16" spans="1:9" x14ac:dyDescent="0.35">
      <c r="A16" s="4" t="s">
        <v>63</v>
      </c>
      <c r="B16" s="9">
        <v>0</v>
      </c>
      <c r="C16" s="9">
        <v>0</v>
      </c>
      <c r="D16" s="10">
        <f>B16-C16</f>
        <v>0</v>
      </c>
      <c r="E16" s="8"/>
      <c r="F16" s="4" t="s">
        <v>40</v>
      </c>
      <c r="G16" s="14">
        <v>0</v>
      </c>
      <c r="H16" s="14">
        <v>0</v>
      </c>
      <c r="I16" s="10">
        <f t="shared" ref="I16:I19" si="3">G16-H16</f>
        <v>0</v>
      </c>
    </row>
    <row r="17" spans="1:9" x14ac:dyDescent="0.35">
      <c r="A17" s="4" t="s">
        <v>66</v>
      </c>
      <c r="B17" s="9">
        <v>0</v>
      </c>
      <c r="C17" s="9">
        <v>0</v>
      </c>
      <c r="D17" s="10">
        <f t="shared" ref="D17:D28" si="4">B17-C17</f>
        <v>0</v>
      </c>
      <c r="E17" s="8"/>
      <c r="F17" s="4" t="s">
        <v>71</v>
      </c>
      <c r="G17" s="14">
        <v>0</v>
      </c>
      <c r="H17" s="14">
        <v>0</v>
      </c>
      <c r="I17" s="10">
        <f t="shared" si="3"/>
        <v>0</v>
      </c>
    </row>
    <row r="18" spans="1:9" x14ac:dyDescent="0.35">
      <c r="A18" s="4" t="s">
        <v>62</v>
      </c>
      <c r="B18" s="9">
        <v>0</v>
      </c>
      <c r="C18" s="9">
        <v>0</v>
      </c>
      <c r="D18" s="10">
        <f t="shared" si="4"/>
        <v>0</v>
      </c>
      <c r="E18" s="8"/>
      <c r="F18" s="4" t="s">
        <v>74</v>
      </c>
      <c r="G18" s="14">
        <v>0</v>
      </c>
      <c r="H18" s="14">
        <v>0</v>
      </c>
      <c r="I18" s="10">
        <f t="shared" si="3"/>
        <v>0</v>
      </c>
    </row>
    <row r="19" spans="1:9" x14ac:dyDescent="0.35">
      <c r="A19" s="4" t="s">
        <v>61</v>
      </c>
      <c r="B19" s="9">
        <v>0</v>
      </c>
      <c r="C19" s="9">
        <v>0</v>
      </c>
      <c r="D19" s="10">
        <f t="shared" si="4"/>
        <v>0</v>
      </c>
      <c r="E19" s="8"/>
      <c r="F19" s="4" t="s">
        <v>70</v>
      </c>
      <c r="G19" s="14">
        <v>0</v>
      </c>
      <c r="H19" s="14">
        <v>0</v>
      </c>
      <c r="I19" s="10">
        <f t="shared" si="3"/>
        <v>0</v>
      </c>
    </row>
    <row r="20" spans="1:9" s="5" customFormat="1" x14ac:dyDescent="0.35">
      <c r="A20" s="4" t="s">
        <v>64</v>
      </c>
      <c r="B20" s="9">
        <v>0</v>
      </c>
      <c r="C20" s="9">
        <v>0</v>
      </c>
      <c r="D20" s="10">
        <f t="shared" si="4"/>
        <v>0</v>
      </c>
      <c r="E20" s="8"/>
      <c r="F20" s="24" t="str">
        <f>"Total " &amp; Table6[[#Headers],[DAILY LIVING]]</f>
        <v>Total DAILY LIVING</v>
      </c>
      <c r="G20" s="19">
        <f>SUBTOTAL(109,Table6[Budget])</f>
        <v>0</v>
      </c>
      <c r="H20" s="19" t="s">
        <v>140</v>
      </c>
      <c r="I20" s="13">
        <f>SUBTOTAL(109,Table6[Difference])</f>
        <v>0</v>
      </c>
    </row>
    <row r="21" spans="1:9" x14ac:dyDescent="0.35">
      <c r="A21" s="4" t="s">
        <v>118</v>
      </c>
      <c r="B21" s="9">
        <v>0</v>
      </c>
      <c r="C21" s="9">
        <v>0</v>
      </c>
      <c r="D21" s="10">
        <f t="shared" si="4"/>
        <v>0</v>
      </c>
      <c r="E21" s="8"/>
      <c r="F21" s="8"/>
      <c r="G21" s="17"/>
      <c r="H21" s="17"/>
      <c r="I21" s="17"/>
    </row>
    <row r="22" spans="1:9" x14ac:dyDescent="0.35">
      <c r="A22" s="4" t="s">
        <v>39</v>
      </c>
      <c r="B22" s="9">
        <v>0</v>
      </c>
      <c r="C22" s="9">
        <v>0</v>
      </c>
      <c r="D22" s="10">
        <f t="shared" si="4"/>
        <v>0</v>
      </c>
      <c r="E22" s="8"/>
      <c r="F22" s="21" t="s">
        <v>78</v>
      </c>
      <c r="G22" s="22" t="s">
        <v>49</v>
      </c>
      <c r="H22" s="23" t="s">
        <v>0</v>
      </c>
      <c r="I22" s="23" t="s">
        <v>46</v>
      </c>
    </row>
    <row r="23" spans="1:9" x14ac:dyDescent="0.35">
      <c r="A23" s="4" t="s">
        <v>65</v>
      </c>
      <c r="B23" s="9">
        <v>0</v>
      </c>
      <c r="C23" s="9">
        <v>0</v>
      </c>
      <c r="D23" s="10">
        <f t="shared" si="4"/>
        <v>0</v>
      </c>
      <c r="E23" s="8"/>
      <c r="F23" s="4" t="s">
        <v>93</v>
      </c>
      <c r="G23" s="14">
        <v>0</v>
      </c>
      <c r="H23" s="14">
        <v>0</v>
      </c>
      <c r="I23" s="10">
        <f t="shared" ref="I23:I36" si="5">G23-H23</f>
        <v>0</v>
      </c>
    </row>
    <row r="24" spans="1:9" x14ac:dyDescent="0.35">
      <c r="A24" s="4" t="s">
        <v>38</v>
      </c>
      <c r="B24" s="9">
        <v>0</v>
      </c>
      <c r="C24" s="9">
        <v>0</v>
      </c>
      <c r="D24" s="10">
        <f t="shared" si="4"/>
        <v>0</v>
      </c>
      <c r="E24" s="8"/>
      <c r="F24" s="4"/>
      <c r="G24" s="14">
        <v>0</v>
      </c>
      <c r="H24" s="14">
        <v>0</v>
      </c>
      <c r="I24" s="10">
        <f t="shared" si="5"/>
        <v>0</v>
      </c>
    </row>
    <row r="25" spans="1:9" x14ac:dyDescent="0.35">
      <c r="A25" s="4" t="s">
        <v>37</v>
      </c>
      <c r="B25" s="9">
        <v>0</v>
      </c>
      <c r="C25" s="9">
        <v>0</v>
      </c>
      <c r="D25" s="10">
        <f>B25-C25</f>
        <v>0</v>
      </c>
      <c r="E25" s="8"/>
      <c r="F25" s="4" t="s">
        <v>138</v>
      </c>
      <c r="G25" s="14">
        <v>0</v>
      </c>
      <c r="H25" s="14">
        <v>0</v>
      </c>
      <c r="I25" s="10">
        <f t="shared" si="5"/>
        <v>0</v>
      </c>
    </row>
    <row r="26" spans="1:9" x14ac:dyDescent="0.35">
      <c r="A26" s="4" t="s">
        <v>73</v>
      </c>
      <c r="B26" s="9">
        <v>0</v>
      </c>
      <c r="C26" s="9">
        <v>0</v>
      </c>
      <c r="D26" s="10">
        <f t="shared" si="4"/>
        <v>0</v>
      </c>
      <c r="E26" s="8"/>
      <c r="F26" s="4" t="s">
        <v>21</v>
      </c>
      <c r="G26" s="14">
        <v>0</v>
      </c>
      <c r="H26" s="14">
        <v>0</v>
      </c>
      <c r="I26" s="10">
        <f t="shared" ref="I26:I30" si="6">G26-H26</f>
        <v>0</v>
      </c>
    </row>
    <row r="27" spans="1:9" x14ac:dyDescent="0.35">
      <c r="A27" s="36" t="s">
        <v>75</v>
      </c>
      <c r="B27" s="9">
        <v>0</v>
      </c>
      <c r="C27" s="9">
        <v>0</v>
      </c>
      <c r="D27" s="10">
        <f t="shared" si="4"/>
        <v>0</v>
      </c>
      <c r="E27" s="8"/>
      <c r="F27" s="4" t="s">
        <v>41</v>
      </c>
      <c r="G27" s="14">
        <v>0</v>
      </c>
      <c r="H27" s="14">
        <v>0</v>
      </c>
      <c r="I27" s="10">
        <f t="shared" si="6"/>
        <v>0</v>
      </c>
    </row>
    <row r="28" spans="1:9" x14ac:dyDescent="0.35">
      <c r="A28" s="4" t="s">
        <v>10</v>
      </c>
      <c r="B28" s="14"/>
      <c r="C28" s="14">
        <v>0</v>
      </c>
      <c r="D28" s="10">
        <f t="shared" si="4"/>
        <v>0</v>
      </c>
      <c r="E28" s="8"/>
      <c r="F28" s="4" t="s">
        <v>42</v>
      </c>
      <c r="G28" s="14">
        <v>0</v>
      </c>
      <c r="H28" s="14">
        <v>0</v>
      </c>
      <c r="I28" s="10">
        <f t="shared" si="6"/>
        <v>0</v>
      </c>
    </row>
    <row r="29" spans="1:9" x14ac:dyDescent="0.35">
      <c r="A29" s="24" t="str">
        <f>"Total " &amp; Table5[[#Headers],[HOME EXPENSES]]</f>
        <v>Total HOME EXPENSES</v>
      </c>
      <c r="B29" s="19">
        <f>SUBTOTAL(109,Table5[Budget])</f>
        <v>0</v>
      </c>
      <c r="C29" s="19">
        <f>SUBTOTAL(109,Table5[Actual])</f>
        <v>0</v>
      </c>
      <c r="D29" s="13">
        <f>SUBTOTAL(109,Table5[Difference])</f>
        <v>0</v>
      </c>
      <c r="E29" s="8"/>
      <c r="F29" s="4" t="s">
        <v>137</v>
      </c>
      <c r="G29" s="14">
        <v>0</v>
      </c>
      <c r="H29" s="14">
        <v>0</v>
      </c>
      <c r="I29" s="10">
        <f t="shared" si="6"/>
        <v>0</v>
      </c>
    </row>
    <row r="30" spans="1:9" x14ac:dyDescent="0.35">
      <c r="A30" s="8"/>
      <c r="B30" s="17"/>
      <c r="C30" s="17"/>
      <c r="D30" s="17"/>
      <c r="E30" s="8"/>
      <c r="F30" s="4" t="s">
        <v>23</v>
      </c>
      <c r="G30" s="14">
        <v>0</v>
      </c>
      <c r="H30" s="14">
        <v>0</v>
      </c>
      <c r="I30" s="10">
        <f t="shared" si="6"/>
        <v>0</v>
      </c>
    </row>
    <row r="31" spans="1:9" x14ac:dyDescent="0.35">
      <c r="A31" s="21" t="s">
        <v>11</v>
      </c>
      <c r="B31" s="22" t="s">
        <v>49</v>
      </c>
      <c r="C31" s="23" t="s">
        <v>0</v>
      </c>
      <c r="D31" s="23" t="s">
        <v>46</v>
      </c>
      <c r="E31" s="8"/>
      <c r="F31" s="4" t="s">
        <v>43</v>
      </c>
      <c r="G31" s="14">
        <v>0</v>
      </c>
      <c r="H31" s="14">
        <v>0</v>
      </c>
      <c r="I31" s="10">
        <f t="shared" si="5"/>
        <v>0</v>
      </c>
    </row>
    <row r="32" spans="1:9" x14ac:dyDescent="0.35">
      <c r="A32" s="4" t="s">
        <v>12</v>
      </c>
      <c r="B32" s="14">
        <v>0</v>
      </c>
      <c r="C32" s="14">
        <v>0</v>
      </c>
      <c r="D32" s="10">
        <f>B32-C32</f>
        <v>0</v>
      </c>
      <c r="E32" s="8"/>
      <c r="F32" s="4" t="s">
        <v>24</v>
      </c>
      <c r="G32" s="14">
        <v>0</v>
      </c>
      <c r="H32" s="14">
        <v>0</v>
      </c>
      <c r="I32" s="10">
        <f t="shared" si="5"/>
        <v>0</v>
      </c>
    </row>
    <row r="33" spans="1:9" x14ac:dyDescent="0.35">
      <c r="A33" s="4" t="s">
        <v>52</v>
      </c>
      <c r="B33" s="14">
        <v>0</v>
      </c>
      <c r="C33" s="14">
        <v>0</v>
      </c>
      <c r="D33" s="10">
        <f t="shared" ref="D33:D38" si="7">B33-C33</f>
        <v>0</v>
      </c>
      <c r="E33" s="8"/>
      <c r="F33" s="4" t="s">
        <v>22</v>
      </c>
      <c r="G33" s="14">
        <v>0</v>
      </c>
      <c r="H33" s="14">
        <v>0</v>
      </c>
      <c r="I33" s="10">
        <f t="shared" si="5"/>
        <v>0</v>
      </c>
    </row>
    <row r="34" spans="1:9" x14ac:dyDescent="0.35">
      <c r="A34" s="4" t="s">
        <v>13</v>
      </c>
      <c r="B34" s="14">
        <v>0</v>
      </c>
      <c r="C34" s="14">
        <v>0</v>
      </c>
      <c r="D34" s="10">
        <f>B34-C34</f>
        <v>0</v>
      </c>
      <c r="E34" s="8"/>
      <c r="F34" s="4" t="s">
        <v>44</v>
      </c>
      <c r="G34" s="14">
        <v>0</v>
      </c>
      <c r="H34" s="14">
        <v>0</v>
      </c>
      <c r="I34" s="10">
        <f t="shared" si="5"/>
        <v>0</v>
      </c>
    </row>
    <row r="35" spans="1:9" x14ac:dyDescent="0.35">
      <c r="A35" s="4" t="s">
        <v>35</v>
      </c>
      <c r="B35" s="14">
        <v>0</v>
      </c>
      <c r="C35" s="14">
        <v>0</v>
      </c>
      <c r="D35" s="10">
        <f t="shared" si="7"/>
        <v>0</v>
      </c>
      <c r="E35" s="8"/>
      <c r="F35" s="4" t="s">
        <v>59</v>
      </c>
      <c r="G35" s="14">
        <v>0</v>
      </c>
      <c r="H35" s="14">
        <v>0</v>
      </c>
      <c r="I35" s="10">
        <f t="shared" si="5"/>
        <v>0</v>
      </c>
    </row>
    <row r="36" spans="1:9" x14ac:dyDescent="0.35">
      <c r="A36" s="4" t="s">
        <v>14</v>
      </c>
      <c r="B36" s="14">
        <v>0</v>
      </c>
      <c r="C36" s="14">
        <v>0</v>
      </c>
      <c r="D36" s="10">
        <f t="shared" si="7"/>
        <v>0</v>
      </c>
      <c r="E36" s="8"/>
      <c r="F36" s="4" t="s">
        <v>76</v>
      </c>
      <c r="G36" s="14">
        <v>0</v>
      </c>
      <c r="H36" s="14">
        <v>0</v>
      </c>
      <c r="I36" s="10">
        <f t="shared" si="5"/>
        <v>0</v>
      </c>
    </row>
    <row r="37" spans="1:9" x14ac:dyDescent="0.35">
      <c r="A37" s="4" t="s">
        <v>36</v>
      </c>
      <c r="B37" s="14">
        <v>0</v>
      </c>
      <c r="C37" s="14">
        <v>0</v>
      </c>
      <c r="D37" s="10">
        <f t="shared" si="7"/>
        <v>0</v>
      </c>
      <c r="E37" s="8"/>
      <c r="F37" s="24" t="str">
        <f>"Total " &amp; Table7[[#Headers],[Entertainment]]</f>
        <v>Total Entertainment</v>
      </c>
      <c r="G37" s="19">
        <f>SUBTOTAL(109,Table7[Budget])</f>
        <v>0</v>
      </c>
      <c r="H37" s="19">
        <f>SUBTOTAL(109,Table7[Actual])</f>
        <v>0</v>
      </c>
      <c r="I37" s="13">
        <f>SUBTOTAL(109,Table7[Difference])</f>
        <v>0</v>
      </c>
    </row>
    <row r="38" spans="1:9" x14ac:dyDescent="0.35">
      <c r="A38" s="4" t="s">
        <v>10</v>
      </c>
      <c r="B38" s="14">
        <v>0</v>
      </c>
      <c r="C38" s="14">
        <v>0</v>
      </c>
      <c r="D38" s="10">
        <f t="shared" si="7"/>
        <v>0</v>
      </c>
      <c r="E38" s="8"/>
      <c r="F38" s="8"/>
      <c r="G38" s="17"/>
      <c r="H38" s="17"/>
      <c r="I38" s="17"/>
    </row>
    <row r="39" spans="1:9" x14ac:dyDescent="0.35">
      <c r="A39" s="24" t="str">
        <f>"Total " &amp; Table20[[#Headers],[TRANSPORTATION]]</f>
        <v>Total TRANSPORTATION</v>
      </c>
      <c r="B39" s="19">
        <f>SUBTOTAL(109,Table20[Budget])</f>
        <v>0</v>
      </c>
      <c r="C39" s="19">
        <f>SUBTOTAL(109,Table20[Actual])</f>
        <v>0</v>
      </c>
      <c r="D39" s="13">
        <f>SUBTOTAL(109,Table20[Difference])</f>
        <v>0</v>
      </c>
      <c r="E39" s="8"/>
      <c r="F39" s="21" t="s">
        <v>32</v>
      </c>
      <c r="G39" s="22" t="s">
        <v>49</v>
      </c>
      <c r="H39" s="23" t="s">
        <v>0</v>
      </c>
      <c r="I39" s="23" t="s">
        <v>46</v>
      </c>
    </row>
    <row r="40" spans="1:9" x14ac:dyDescent="0.35">
      <c r="A40" s="8"/>
      <c r="B40" s="17"/>
      <c r="C40" s="17"/>
      <c r="D40" s="17"/>
      <c r="E40" s="8"/>
      <c r="F40" s="4" t="s">
        <v>29</v>
      </c>
      <c r="G40" s="14">
        <v>0</v>
      </c>
      <c r="H40" s="14">
        <v>0</v>
      </c>
      <c r="I40" s="10">
        <f>G40-H40</f>
        <v>0</v>
      </c>
    </row>
    <row r="41" spans="1:9" x14ac:dyDescent="0.35">
      <c r="A41" s="21" t="s">
        <v>15</v>
      </c>
      <c r="B41" s="22" t="s">
        <v>49</v>
      </c>
      <c r="C41" s="23" t="s">
        <v>0</v>
      </c>
      <c r="D41" s="23" t="s">
        <v>46</v>
      </c>
      <c r="E41" s="8"/>
      <c r="F41" s="4" t="s">
        <v>30</v>
      </c>
      <c r="G41" s="14">
        <v>0</v>
      </c>
      <c r="H41" s="14">
        <v>0</v>
      </c>
      <c r="I41" s="10">
        <f t="shared" ref="I41:I42" si="8">G41-H41</f>
        <v>0</v>
      </c>
    </row>
    <row r="42" spans="1:9" x14ac:dyDescent="0.35">
      <c r="A42" s="4" t="s">
        <v>53</v>
      </c>
      <c r="B42" s="14">
        <v>0</v>
      </c>
      <c r="C42" s="14">
        <v>0</v>
      </c>
      <c r="D42" s="10">
        <f t="shared" ref="D42:D48" si="9">B42-C42</f>
        <v>0</v>
      </c>
      <c r="E42" s="8"/>
      <c r="F42" s="4" t="s">
        <v>33</v>
      </c>
      <c r="G42" s="14">
        <v>0</v>
      </c>
      <c r="H42" s="14">
        <v>0</v>
      </c>
      <c r="I42" s="10">
        <f t="shared" si="8"/>
        <v>0</v>
      </c>
    </row>
    <row r="43" spans="1:9" x14ac:dyDescent="0.35">
      <c r="A43" s="4" t="s">
        <v>16</v>
      </c>
      <c r="B43" s="14">
        <v>0</v>
      </c>
      <c r="C43" s="14">
        <v>0</v>
      </c>
      <c r="D43" s="10">
        <f t="shared" si="9"/>
        <v>0</v>
      </c>
      <c r="E43" s="8"/>
      <c r="F43" s="4" t="s">
        <v>31</v>
      </c>
      <c r="G43" s="14">
        <v>0</v>
      </c>
      <c r="H43" s="14">
        <v>0</v>
      </c>
      <c r="I43" s="10">
        <f>G43-H43</f>
        <v>0</v>
      </c>
    </row>
    <row r="44" spans="1:9" x14ac:dyDescent="0.35">
      <c r="A44" s="4" t="s">
        <v>17</v>
      </c>
      <c r="B44" s="14">
        <v>0</v>
      </c>
      <c r="C44" s="14">
        <v>0</v>
      </c>
      <c r="D44" s="10">
        <f t="shared" si="9"/>
        <v>0</v>
      </c>
      <c r="E44" s="8"/>
      <c r="F44" s="4" t="s">
        <v>60</v>
      </c>
      <c r="G44" s="14">
        <v>0</v>
      </c>
      <c r="H44" s="14">
        <v>0</v>
      </c>
      <c r="I44" s="10">
        <f>G44-H44</f>
        <v>0</v>
      </c>
    </row>
    <row r="45" spans="1:9" x14ac:dyDescent="0.35">
      <c r="A45" s="4" t="s">
        <v>18</v>
      </c>
      <c r="B45" s="14">
        <v>0</v>
      </c>
      <c r="C45" s="14">
        <v>0</v>
      </c>
      <c r="D45" s="10">
        <f t="shared" si="9"/>
        <v>0</v>
      </c>
      <c r="E45" s="8"/>
      <c r="F45" s="4" t="s">
        <v>10</v>
      </c>
      <c r="G45" s="14">
        <v>0</v>
      </c>
      <c r="H45" s="14">
        <v>0</v>
      </c>
      <c r="I45" s="10">
        <f>G45-H45</f>
        <v>0</v>
      </c>
    </row>
    <row r="46" spans="1:9" x14ac:dyDescent="0.35">
      <c r="A46" s="4" t="s">
        <v>54</v>
      </c>
      <c r="B46" s="14">
        <v>0</v>
      </c>
      <c r="C46" s="14">
        <v>0</v>
      </c>
      <c r="D46" s="10">
        <f t="shared" si="9"/>
        <v>0</v>
      </c>
      <c r="E46" s="8"/>
      <c r="F46" s="24" t="str">
        <f>"Total " &amp; Table8[[#Headers],[SAVINGS]]</f>
        <v>Total SAVINGS</v>
      </c>
      <c r="G46" s="19">
        <f>SUBTOTAL(109,Table8[Budget])</f>
        <v>0</v>
      </c>
      <c r="H46" s="19">
        <f>SUBTOTAL(109,Table8[Actual])</f>
        <v>0</v>
      </c>
      <c r="I46" s="13">
        <f>SUBTOTAL(109,Table8[Difference])</f>
        <v>0</v>
      </c>
    </row>
    <row r="47" spans="1:9" x14ac:dyDescent="0.35">
      <c r="A47" s="4" t="s">
        <v>55</v>
      </c>
      <c r="B47" s="14">
        <v>0</v>
      </c>
      <c r="C47" s="14">
        <v>0</v>
      </c>
      <c r="D47" s="10">
        <f t="shared" si="9"/>
        <v>0</v>
      </c>
      <c r="E47" s="8"/>
      <c r="F47" s="8"/>
      <c r="G47" s="17"/>
      <c r="H47" s="17"/>
      <c r="I47" s="17"/>
    </row>
    <row r="48" spans="1:9" x14ac:dyDescent="0.35">
      <c r="A48" s="4" t="s">
        <v>10</v>
      </c>
      <c r="B48" s="14">
        <v>0</v>
      </c>
      <c r="C48" s="14">
        <v>0</v>
      </c>
      <c r="D48" s="10">
        <f t="shared" si="9"/>
        <v>0</v>
      </c>
      <c r="E48" s="8"/>
      <c r="F48" s="21" t="s">
        <v>34</v>
      </c>
      <c r="G48" s="22" t="s">
        <v>49</v>
      </c>
      <c r="H48" s="23" t="s">
        <v>0</v>
      </c>
      <c r="I48" s="23" t="s">
        <v>46</v>
      </c>
    </row>
    <row r="49" spans="1:9" x14ac:dyDescent="0.35">
      <c r="A49" s="24" t="str">
        <f>"Total " &amp; Table21[[#Headers],[HEALTH]]</f>
        <v>Total HEALTH</v>
      </c>
      <c r="B49" s="19">
        <f>SUBTOTAL(109,Table21[Budget])</f>
        <v>0</v>
      </c>
      <c r="C49" s="19">
        <f>SUBTOTAL(109,Table21[Actual])</f>
        <v>0</v>
      </c>
      <c r="D49" s="13">
        <f>SUBTOTAL(109,Table21[Difference])</f>
        <v>0</v>
      </c>
      <c r="E49" s="8"/>
      <c r="F49" s="4" t="s">
        <v>114</v>
      </c>
      <c r="G49" s="14">
        <v>0</v>
      </c>
      <c r="H49" s="14">
        <v>0</v>
      </c>
      <c r="I49" s="10">
        <f t="shared" ref="I49:I55" si="10">G49-H49</f>
        <v>0</v>
      </c>
    </row>
    <row r="50" spans="1:9" x14ac:dyDescent="0.35">
      <c r="A50" s="8"/>
      <c r="B50" s="17"/>
      <c r="C50" s="17"/>
      <c r="D50" s="17"/>
      <c r="E50" s="8"/>
      <c r="F50" s="4" t="s">
        <v>114</v>
      </c>
      <c r="G50" s="14">
        <v>0</v>
      </c>
      <c r="H50" s="14">
        <v>0</v>
      </c>
      <c r="I50" s="10">
        <f t="shared" si="10"/>
        <v>0</v>
      </c>
    </row>
    <row r="51" spans="1:9" x14ac:dyDescent="0.35">
      <c r="A51" s="21" t="s">
        <v>45</v>
      </c>
      <c r="B51" s="22" t="s">
        <v>49</v>
      </c>
      <c r="C51" s="23" t="s">
        <v>0</v>
      </c>
      <c r="D51" s="23" t="s">
        <v>46</v>
      </c>
      <c r="E51" s="8"/>
      <c r="F51" s="4" t="s">
        <v>114</v>
      </c>
      <c r="G51" s="14">
        <v>0</v>
      </c>
      <c r="H51" s="14">
        <v>0</v>
      </c>
      <c r="I51" s="10">
        <f t="shared" si="10"/>
        <v>0</v>
      </c>
    </row>
    <row r="52" spans="1:9" x14ac:dyDescent="0.35">
      <c r="A52" s="4" t="s">
        <v>6</v>
      </c>
      <c r="B52" s="14">
        <v>0</v>
      </c>
      <c r="C52" s="14">
        <v>0</v>
      </c>
      <c r="D52" s="10">
        <f t="shared" ref="D52:D55" si="11">B52-C52</f>
        <v>0</v>
      </c>
      <c r="E52" s="8"/>
      <c r="F52" s="4" t="s">
        <v>115</v>
      </c>
      <c r="G52" s="14">
        <v>0</v>
      </c>
      <c r="H52" s="14">
        <v>0</v>
      </c>
      <c r="I52" s="10">
        <f t="shared" si="10"/>
        <v>0</v>
      </c>
    </row>
    <row r="53" spans="1:9" x14ac:dyDescent="0.35">
      <c r="A53" s="4" t="s">
        <v>27</v>
      </c>
      <c r="B53" s="14">
        <v>0</v>
      </c>
      <c r="C53" s="14">
        <v>0</v>
      </c>
      <c r="D53" s="10">
        <f t="shared" si="11"/>
        <v>0</v>
      </c>
      <c r="E53" s="8"/>
      <c r="F53" s="4" t="s">
        <v>115</v>
      </c>
      <c r="G53" s="14">
        <v>0</v>
      </c>
      <c r="H53" s="14">
        <v>0</v>
      </c>
      <c r="I53" s="10">
        <f t="shared" si="10"/>
        <v>0</v>
      </c>
    </row>
    <row r="54" spans="1:9" x14ac:dyDescent="0.35">
      <c r="A54" s="4" t="s">
        <v>28</v>
      </c>
      <c r="B54" s="14">
        <v>0</v>
      </c>
      <c r="C54" s="14">
        <v>0</v>
      </c>
      <c r="D54" s="10">
        <f t="shared" si="11"/>
        <v>0</v>
      </c>
      <c r="E54" s="8"/>
      <c r="F54" s="4" t="s">
        <v>116</v>
      </c>
      <c r="G54" s="14">
        <v>0</v>
      </c>
      <c r="H54" s="14">
        <v>0</v>
      </c>
      <c r="I54" s="10">
        <f t="shared" si="10"/>
        <v>0</v>
      </c>
    </row>
    <row r="55" spans="1:9" x14ac:dyDescent="0.35">
      <c r="A55" s="4" t="s">
        <v>10</v>
      </c>
      <c r="B55" s="14">
        <v>0</v>
      </c>
      <c r="C55" s="14">
        <v>0</v>
      </c>
      <c r="D55" s="10">
        <f t="shared" si="11"/>
        <v>0</v>
      </c>
      <c r="E55" s="8"/>
      <c r="F55" s="4" t="s">
        <v>117</v>
      </c>
      <c r="G55" s="14">
        <v>0</v>
      </c>
      <c r="H55" s="14">
        <v>0</v>
      </c>
      <c r="I55" s="10">
        <f t="shared" si="10"/>
        <v>0</v>
      </c>
    </row>
    <row r="56" spans="1:9" x14ac:dyDescent="0.35">
      <c r="A56" s="24" t="str">
        <f>"Total " &amp; Table19[[#Headers],[CHARITY/GIFTS]]</f>
        <v>Total CHARITY/GIFTS</v>
      </c>
      <c r="B56" s="19">
        <f>SUBTOTAL(109,Table19[Budget])</f>
        <v>0</v>
      </c>
      <c r="C56" s="19">
        <f>SUBTOTAL(109,Table19[Actual])</f>
        <v>0</v>
      </c>
      <c r="D56" s="13">
        <f>SUBTOTAL(109,Table19[Difference])</f>
        <v>0</v>
      </c>
      <c r="E56" s="8"/>
      <c r="F56" s="37" t="str">
        <f>"Total " &amp; Table10[[#Headers],[OBLIGATIONS]]</f>
        <v>Total OBLIGATIONS</v>
      </c>
      <c r="G56" s="38">
        <f>SUBTOTAL(109,Table10[Budget])</f>
        <v>0</v>
      </c>
      <c r="H56" s="38">
        <f>SUBTOTAL(109,Table10[Actual])</f>
        <v>0</v>
      </c>
      <c r="I56" s="39">
        <f>SUBTOTAL(109,Table10[Difference])</f>
        <v>0</v>
      </c>
    </row>
    <row r="57" spans="1:9" x14ac:dyDescent="0.35">
      <c r="A57" s="8"/>
      <c r="B57" s="17"/>
      <c r="C57" s="17"/>
      <c r="D57" s="17"/>
      <c r="E57" s="8"/>
      <c r="F57" s="8"/>
      <c r="G57" s="17"/>
      <c r="H57" s="17"/>
      <c r="I57" s="17"/>
    </row>
    <row r="58" spans="1:9" x14ac:dyDescent="0.35">
      <c r="A58" s="21" t="s">
        <v>25</v>
      </c>
      <c r="B58" s="22" t="s">
        <v>49</v>
      </c>
      <c r="C58" s="23" t="s">
        <v>0</v>
      </c>
      <c r="D58" s="23" t="s">
        <v>46</v>
      </c>
      <c r="E58" s="8"/>
      <c r="F58" s="21" t="s">
        <v>8</v>
      </c>
      <c r="G58" s="22" t="s">
        <v>49</v>
      </c>
      <c r="H58" s="23" t="s">
        <v>0</v>
      </c>
      <c r="I58" s="23" t="s">
        <v>46</v>
      </c>
    </row>
    <row r="59" spans="1:9" x14ac:dyDescent="0.35">
      <c r="A59" s="4" t="s">
        <v>19</v>
      </c>
      <c r="B59" s="14">
        <v>0</v>
      </c>
      <c r="C59" s="14">
        <v>0</v>
      </c>
      <c r="D59" s="10">
        <f t="shared" ref="D59:D62" si="12">B59-C59</f>
        <v>0</v>
      </c>
      <c r="E59" s="8"/>
      <c r="F59" s="4" t="s">
        <v>68</v>
      </c>
      <c r="G59" s="9">
        <v>0</v>
      </c>
      <c r="H59" s="9">
        <v>0</v>
      </c>
      <c r="I59" s="10">
        <f t="shared" ref="I59:I62" si="13">G59-H59</f>
        <v>0</v>
      </c>
    </row>
    <row r="60" spans="1:9" x14ac:dyDescent="0.35">
      <c r="A60" s="4" t="s">
        <v>20</v>
      </c>
      <c r="B60" s="14">
        <v>0</v>
      </c>
      <c r="C60" s="14">
        <v>0</v>
      </c>
      <c r="D60" s="10">
        <f t="shared" si="12"/>
        <v>0</v>
      </c>
      <c r="E60" s="8"/>
      <c r="F60" s="4" t="s">
        <v>72</v>
      </c>
      <c r="G60" s="9">
        <v>0</v>
      </c>
      <c r="H60" s="9">
        <v>0</v>
      </c>
      <c r="I60" s="10">
        <f t="shared" si="13"/>
        <v>0</v>
      </c>
    </row>
    <row r="61" spans="1:9" x14ac:dyDescent="0.35">
      <c r="A61" s="4" t="s">
        <v>56</v>
      </c>
      <c r="B61" s="14">
        <v>0</v>
      </c>
      <c r="C61" s="14">
        <v>0</v>
      </c>
      <c r="D61" s="10">
        <f t="shared" si="12"/>
        <v>0</v>
      </c>
      <c r="E61" s="8"/>
      <c r="F61" s="4" t="s">
        <v>67</v>
      </c>
      <c r="G61" s="9">
        <v>0</v>
      </c>
      <c r="H61" s="9">
        <v>0</v>
      </c>
      <c r="I61" s="10">
        <f t="shared" si="13"/>
        <v>0</v>
      </c>
    </row>
    <row r="62" spans="1:9" x14ac:dyDescent="0.35">
      <c r="A62" s="4" t="s">
        <v>10</v>
      </c>
      <c r="B62" s="14">
        <v>0</v>
      </c>
      <c r="C62" s="14">
        <v>0</v>
      </c>
      <c r="D62" s="10">
        <f t="shared" si="12"/>
        <v>0</v>
      </c>
      <c r="E62" s="8"/>
      <c r="F62" s="4" t="s">
        <v>10</v>
      </c>
      <c r="G62" s="14">
        <v>0</v>
      </c>
      <c r="H62" s="14">
        <v>0</v>
      </c>
      <c r="I62" s="10">
        <f t="shared" si="13"/>
        <v>0</v>
      </c>
    </row>
    <row r="63" spans="1:9" x14ac:dyDescent="0.35">
      <c r="A63" s="24" t="str">
        <f>"Total " &amp; Table15[[#Headers],[SUBSCRIPTIONS]]</f>
        <v>Total SUBSCRIPTIONS</v>
      </c>
      <c r="B63" s="19">
        <f>SUBTOTAL(109,Table15[Budget])</f>
        <v>0</v>
      </c>
      <c r="C63" s="19">
        <f>SUBTOTAL(109,Table15[Actual])</f>
        <v>0</v>
      </c>
      <c r="D63" s="13">
        <f>SUBTOTAL(109,Table15[Difference])</f>
        <v>0</v>
      </c>
      <c r="E63" s="8"/>
      <c r="F63" s="24" t="str">
        <f>"Total " &amp; Table14[[#Headers],[MISCELLANEOUS]]</f>
        <v>Total MISCELLANEOUS</v>
      </c>
      <c r="G63" s="19">
        <f>SUBTOTAL(109,Table14[Budget])</f>
        <v>0</v>
      </c>
      <c r="H63" s="19">
        <f>SUBTOTAL(109,Table14[Actual])</f>
        <v>0</v>
      </c>
      <c r="I63" s="13">
        <f>SUBTOTAL(109,Table14[Difference])</f>
        <v>0</v>
      </c>
    </row>
    <row r="64" spans="1:9" x14ac:dyDescent="0.35">
      <c r="E64" s="8"/>
      <c r="F64" s="7"/>
    </row>
    <row r="65" spans="5:6" x14ac:dyDescent="0.35">
      <c r="E65" s="8"/>
      <c r="F65" s="7"/>
    </row>
    <row r="66" spans="5:6" x14ac:dyDescent="0.35">
      <c r="E66" s="8"/>
      <c r="F66" s="7"/>
    </row>
    <row r="67" spans="5:6" x14ac:dyDescent="0.35">
      <c r="E67" s="8"/>
      <c r="F67" s="7"/>
    </row>
    <row r="68" spans="5:6" x14ac:dyDescent="0.35">
      <c r="E68" s="8"/>
      <c r="F68" s="7"/>
    </row>
    <row r="69" spans="5:6" x14ac:dyDescent="0.35">
      <c r="E69" s="8"/>
      <c r="F69" s="7"/>
    </row>
    <row r="70" spans="5:6" x14ac:dyDescent="0.35">
      <c r="E70" s="8"/>
    </row>
    <row r="71" spans="5:6" x14ac:dyDescent="0.35">
      <c r="E71" s="8"/>
    </row>
    <row r="72" spans="5:6" x14ac:dyDescent="0.35">
      <c r="E72" s="8"/>
      <c r="F72" s="7"/>
    </row>
    <row r="73" spans="5:6" x14ac:dyDescent="0.35">
      <c r="E73" s="8"/>
      <c r="F73" s="7"/>
    </row>
    <row r="74" spans="5:6" x14ac:dyDescent="0.35">
      <c r="E74" s="15"/>
      <c r="F74" s="7"/>
    </row>
    <row r="75" spans="5:6" x14ac:dyDescent="0.35">
      <c r="E75" s="16"/>
      <c r="F75" s="7"/>
    </row>
    <row r="76" spans="5:6" x14ac:dyDescent="0.35">
      <c r="E76" s="16"/>
      <c r="F76" s="7"/>
    </row>
    <row r="77" spans="5:6" x14ac:dyDescent="0.35">
      <c r="E77" s="16"/>
      <c r="F77" s="7"/>
    </row>
    <row r="78" spans="5:6" x14ac:dyDescent="0.35">
      <c r="E78" s="16"/>
      <c r="F78" s="7"/>
    </row>
    <row r="79" spans="5:6" x14ac:dyDescent="0.35">
      <c r="E79" s="8"/>
      <c r="F79" s="7"/>
    </row>
    <row r="80" spans="5:6" x14ac:dyDescent="0.35">
      <c r="E80" s="15"/>
      <c r="F80" s="7"/>
    </row>
    <row r="81" spans="5:6" x14ac:dyDescent="0.35">
      <c r="E81" s="16"/>
      <c r="F81" s="7"/>
    </row>
    <row r="82" spans="5:6" x14ac:dyDescent="0.35">
      <c r="E82" s="16"/>
    </row>
    <row r="83" spans="5:6" x14ac:dyDescent="0.35">
      <c r="E83" s="16"/>
    </row>
    <row r="84" spans="5:6" x14ac:dyDescent="0.35">
      <c r="E84" s="20" t="s">
        <v>48</v>
      </c>
    </row>
    <row r="85" spans="5:6" x14ac:dyDescent="0.35">
      <c r="E85" s="16"/>
    </row>
    <row r="86" spans="5:6" x14ac:dyDescent="0.35">
      <c r="E86" s="16"/>
    </row>
    <row r="87" spans="5:6" x14ac:dyDescent="0.35">
      <c r="E87" s="16"/>
    </row>
    <row r="88" spans="5:6" x14ac:dyDescent="0.35">
      <c r="E88" s="16"/>
    </row>
    <row r="89" spans="5:6" x14ac:dyDescent="0.35">
      <c r="E89" s="16"/>
    </row>
    <row r="90" spans="5:6" x14ac:dyDescent="0.35">
      <c r="E90" s="8"/>
    </row>
    <row r="91" spans="5:6" x14ac:dyDescent="0.35">
      <c r="E91" s="15"/>
    </row>
    <row r="92" spans="5:6" x14ac:dyDescent="0.35">
      <c r="E92" s="7"/>
    </row>
    <row r="93" spans="5:6" x14ac:dyDescent="0.35">
      <c r="E93" s="7"/>
    </row>
    <row r="94" spans="5:6" x14ac:dyDescent="0.35">
      <c r="E94" s="7"/>
    </row>
    <row r="95" spans="5:6" x14ac:dyDescent="0.35">
      <c r="E95" s="7"/>
    </row>
    <row r="96" spans="5:6" x14ac:dyDescent="0.35">
      <c r="E96" s="7"/>
    </row>
    <row r="97" spans="5:5" x14ac:dyDescent="0.35">
      <c r="E97" s="7"/>
    </row>
    <row r="98" spans="5:5" x14ac:dyDescent="0.35">
      <c r="E98" s="7"/>
    </row>
    <row r="99" spans="5:5" x14ac:dyDescent="0.35">
      <c r="E99" s="7"/>
    </row>
    <row r="100" spans="5:5" x14ac:dyDescent="0.35">
      <c r="E100" s="7"/>
    </row>
    <row r="101" spans="5:5" x14ac:dyDescent="0.35">
      <c r="E101" s="7"/>
    </row>
    <row r="122" spans="6:6" x14ac:dyDescent="0.35">
      <c r="F122" s="7"/>
    </row>
    <row r="123" spans="6:6" x14ac:dyDescent="0.35">
      <c r="F123" s="7"/>
    </row>
    <row r="124" spans="6:6" x14ac:dyDescent="0.35">
      <c r="F124" s="7"/>
    </row>
    <row r="125" spans="6:6" x14ac:dyDescent="0.35">
      <c r="F125" s="7"/>
    </row>
    <row r="126" spans="6:6" x14ac:dyDescent="0.35">
      <c r="F126" s="7"/>
    </row>
    <row r="127" spans="6:6" x14ac:dyDescent="0.35">
      <c r="F127" s="7"/>
    </row>
    <row r="128" spans="6:6" x14ac:dyDescent="0.35">
      <c r="F128" s="7"/>
    </row>
    <row r="131" spans="5:6" x14ac:dyDescent="0.35">
      <c r="F131" s="7"/>
    </row>
    <row r="132" spans="5:6" x14ac:dyDescent="0.35">
      <c r="F132" s="7"/>
    </row>
    <row r="133" spans="5:6" x14ac:dyDescent="0.35">
      <c r="F133" s="7"/>
    </row>
    <row r="134" spans="5:6" x14ac:dyDescent="0.35">
      <c r="F134" s="7"/>
    </row>
    <row r="135" spans="5:6" x14ac:dyDescent="0.35">
      <c r="F135" s="7"/>
    </row>
    <row r="136" spans="5:6" x14ac:dyDescent="0.35">
      <c r="F136" s="7"/>
    </row>
    <row r="137" spans="5:6" x14ac:dyDescent="0.35">
      <c r="F137" s="7"/>
    </row>
    <row r="141" spans="5:6" x14ac:dyDescent="0.35">
      <c r="E141" s="6"/>
    </row>
    <row r="142" spans="5:6" x14ac:dyDescent="0.35">
      <c r="E142" s="7"/>
    </row>
    <row r="143" spans="5:6" x14ac:dyDescent="0.35">
      <c r="E143" s="7"/>
    </row>
    <row r="144" spans="5:6" x14ac:dyDescent="0.35">
      <c r="E144" s="7"/>
    </row>
    <row r="145" spans="5:5" x14ac:dyDescent="0.35">
      <c r="E145" s="7"/>
    </row>
    <row r="146" spans="5:5" x14ac:dyDescent="0.35">
      <c r="E146" s="7"/>
    </row>
    <row r="147" spans="5:5" x14ac:dyDescent="0.35">
      <c r="E147" s="7"/>
    </row>
    <row r="148" spans="5:5" x14ac:dyDescent="0.35">
      <c r="E148" s="7"/>
    </row>
    <row r="150" spans="5:5" x14ac:dyDescent="0.35">
      <c r="E150" s="6"/>
    </row>
    <row r="151" spans="5:5" x14ac:dyDescent="0.35">
      <c r="E151" s="7"/>
    </row>
    <row r="152" spans="5:5" x14ac:dyDescent="0.35">
      <c r="E152" s="7"/>
    </row>
    <row r="153" spans="5:5" x14ac:dyDescent="0.35">
      <c r="E153" s="7"/>
    </row>
    <row r="154" spans="5:5" x14ac:dyDescent="0.35">
      <c r="E154" s="7"/>
    </row>
    <row r="155" spans="5:5" x14ac:dyDescent="0.35">
      <c r="E155" s="7"/>
    </row>
    <row r="156" spans="5:5" x14ac:dyDescent="0.35">
      <c r="E156" s="7"/>
    </row>
    <row r="157" spans="5:5" x14ac:dyDescent="0.35">
      <c r="E157" s="7"/>
    </row>
  </sheetData>
  <sheetProtection formatCells="0" formatColumns="0" formatRows="0" insertColumns="0" insertRows="0" insertHyperlinks="0" deleteColumns="0" deleteRows="0" sort="0" autoFilter="0" pivotTables="0"/>
  <mergeCells count="1">
    <mergeCell ref="H2:I2"/>
  </mergeCells>
  <phoneticPr fontId="0" type="noConversion"/>
  <conditionalFormatting sqref="D32:D38 D52:D55 D59:D62 D16:D28 I49:I55 D5:D13 D42:D48 I11:I19 I23:I36 I40:I45 I59:I62">
    <cfRule type="cellIs" dxfId="1809" priority="6" stopIfTrue="1" operator="lessThan">
      <formula>0</formula>
    </cfRule>
  </conditionalFormatting>
  <conditionalFormatting sqref="I5">
    <cfRule type="expression" dxfId="1808" priority="1">
      <formula>IF(,,H5&gt;G5)</formula>
    </cfRule>
  </conditionalFormatting>
  <pageMargins left="0.5" right="0.5" top="0.35" bottom="0.35" header="0.5" footer="0.25"/>
  <pageSetup scale="80" orientation="portrait" r:id="rId1"/>
  <headerFooter alignWithMargins="0"/>
  <tableParts count="11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7"/>
  <sheetViews>
    <sheetView showGridLines="0" tabSelected="1" workbookViewId="0">
      <selection activeCell="C23" sqref="C23"/>
    </sheetView>
  </sheetViews>
  <sheetFormatPr defaultColWidth="9" defaultRowHeight="14.4" x14ac:dyDescent="0.35"/>
  <cols>
    <col min="1" max="1" width="25.3984375" style="1" customWidth="1"/>
    <col min="2" max="3" width="9.59765625" style="1" customWidth="1"/>
    <col min="4" max="4" width="10" style="1" bestFit="1" customWidth="1"/>
    <col min="5" max="5" width="2.59765625" style="1" customWidth="1"/>
    <col min="6" max="6" width="21.5" style="1" customWidth="1"/>
    <col min="7" max="8" width="9.59765625" style="1" customWidth="1"/>
    <col min="9" max="9" width="11.09765625" style="1" customWidth="1"/>
    <col min="10" max="16384" width="9" style="1"/>
  </cols>
  <sheetData>
    <row r="1" spans="1:9" ht="26.1" customHeight="1" x14ac:dyDescent="0.35">
      <c r="A1" s="34" t="s">
        <v>79</v>
      </c>
      <c r="B1" s="34"/>
      <c r="C1" s="34"/>
      <c r="D1" s="34"/>
      <c r="E1" s="34"/>
      <c r="F1" s="34"/>
      <c r="G1" s="34"/>
      <c r="H1" s="34"/>
      <c r="I1" s="34"/>
    </row>
    <row r="2" spans="1:9" s="2" customFormat="1" ht="13.8" x14ac:dyDescent="0.3">
      <c r="A2" s="35"/>
      <c r="B2" s="33"/>
      <c r="C2" s="33"/>
      <c r="D2" s="33"/>
      <c r="E2" s="31"/>
      <c r="F2" s="31"/>
      <c r="G2" s="32"/>
      <c r="H2" s="47"/>
      <c r="I2" s="47"/>
    </row>
    <row r="3" spans="1:9" s="2" customFormat="1" ht="12" x14ac:dyDescent="0.3">
      <c r="E3" s="3"/>
    </row>
    <row r="4" spans="1:9" x14ac:dyDescent="0.35">
      <c r="A4" s="21" t="s">
        <v>1</v>
      </c>
      <c r="B4" s="22" t="s">
        <v>49</v>
      </c>
      <c r="C4" s="23" t="s">
        <v>0</v>
      </c>
      <c r="D4" s="23" t="s">
        <v>46</v>
      </c>
      <c r="E4" s="18" t="s">
        <v>48</v>
      </c>
      <c r="F4" s="26" t="s">
        <v>51</v>
      </c>
      <c r="G4" s="27" t="s">
        <v>49</v>
      </c>
      <c r="H4" s="27" t="s">
        <v>0</v>
      </c>
      <c r="I4" s="27" t="s">
        <v>46</v>
      </c>
    </row>
    <row r="5" spans="1:9" x14ac:dyDescent="0.35">
      <c r="A5" s="4" t="s">
        <v>7</v>
      </c>
      <c r="B5" s="9"/>
      <c r="C5" s="9"/>
      <c r="D5" s="10">
        <f t="shared" ref="D5:D11" si="0">C5-B5</f>
        <v>0</v>
      </c>
      <c r="E5" s="8"/>
      <c r="F5" s="28" t="s">
        <v>2</v>
      </c>
      <c r="G5" s="25">
        <f>Table2211[[#Totals],[Budget]]</f>
        <v>0</v>
      </c>
      <c r="H5" s="25">
        <f>Table2211[[#Totals],[Actual]]</f>
        <v>0</v>
      </c>
      <c r="I5" s="25">
        <f>G5-H5</f>
        <v>0</v>
      </c>
    </row>
    <row r="6" spans="1:9" ht="15" thickBot="1" x14ac:dyDescent="0.4">
      <c r="A6" s="4" t="s">
        <v>119</v>
      </c>
      <c r="B6" s="9">
        <v>0</v>
      </c>
      <c r="C6" s="9">
        <v>0</v>
      </c>
      <c r="D6" s="10">
        <f t="shared" si="0"/>
        <v>0</v>
      </c>
      <c r="E6" s="8"/>
      <c r="F6" s="28" t="s">
        <v>3</v>
      </c>
      <c r="G6" s="25">
        <f>SUM(,Table5212[[#Totals],[Budget]],Table20220[[#Totals],[Budget]],Table21221[[#Totals],[Budget]],Table19219[[#Totals],[Budget]],Table15218[[#Totals],[Budget]],Table14217[[#Totals],[Budget]],Table10216[[#Totals],[Budget]],Table8215[[#Totals],[Budget]],Table7214[[#Totals],[Budget]],Table6213[[#Totals],[Budget]])</f>
        <v>0</v>
      </c>
      <c r="H6" s="25">
        <f>SUM(Table5212[[#Totals],[Actual]],Table20220[[#Totals],[Actual]],Table21221[[#Totals],[Actual]],Table19219[[#Totals],[Actual]],Table15218[[#Totals],[Actual]],Table14217[[#Totals],[Actual]],Table10216[[#Totals],[Actual]],Table8215[[#Totals],[Actual]],Table7214[[#Totals],[Actual]],Table6213[[#Totals],[Actual]])</f>
        <v>0</v>
      </c>
      <c r="I6" s="25">
        <f>G6-H6</f>
        <v>0</v>
      </c>
    </row>
    <row r="7" spans="1:9" ht="15" thickTop="1" x14ac:dyDescent="0.35">
      <c r="A7" s="4" t="s">
        <v>94</v>
      </c>
      <c r="B7" s="9"/>
      <c r="C7" s="9"/>
      <c r="D7" s="10">
        <f t="shared" si="0"/>
        <v>0</v>
      </c>
      <c r="E7" s="8"/>
      <c r="F7" s="29" t="s">
        <v>4</v>
      </c>
      <c r="G7" s="30">
        <f>G5-G6</f>
        <v>0</v>
      </c>
      <c r="H7" s="30">
        <f>H5-H6</f>
        <v>0</v>
      </c>
      <c r="I7" s="30">
        <f>H7-G7</f>
        <v>0</v>
      </c>
    </row>
    <row r="8" spans="1:9" s="2" customFormat="1" x14ac:dyDescent="0.35">
      <c r="A8" s="4" t="s">
        <v>121</v>
      </c>
      <c r="B8" s="9">
        <v>0</v>
      </c>
      <c r="C8" s="9">
        <v>0</v>
      </c>
      <c r="D8" s="10">
        <f t="shared" si="0"/>
        <v>0</v>
      </c>
      <c r="E8" s="11"/>
      <c r="F8" s="11"/>
      <c r="G8" s="11"/>
      <c r="H8" s="11"/>
      <c r="I8" s="11"/>
    </row>
    <row r="9" spans="1:9" x14ac:dyDescent="0.35">
      <c r="A9" s="4" t="s">
        <v>50</v>
      </c>
      <c r="B9" s="9"/>
      <c r="C9" s="9"/>
      <c r="D9" s="10">
        <f t="shared" si="0"/>
        <v>0</v>
      </c>
      <c r="E9" s="8"/>
      <c r="F9" s="11"/>
      <c r="G9" s="11"/>
      <c r="H9" s="11"/>
      <c r="I9" s="11"/>
    </row>
    <row r="10" spans="1:9" x14ac:dyDescent="0.35">
      <c r="A10" s="4" t="s">
        <v>47</v>
      </c>
      <c r="B10" s="9"/>
      <c r="C10" s="9"/>
      <c r="D10" s="10">
        <f t="shared" si="0"/>
        <v>0</v>
      </c>
      <c r="E10" s="8"/>
      <c r="F10" s="21" t="s">
        <v>26</v>
      </c>
      <c r="G10" s="22" t="s">
        <v>49</v>
      </c>
      <c r="H10" s="23" t="s">
        <v>0</v>
      </c>
      <c r="I10" s="23" t="s">
        <v>46</v>
      </c>
    </row>
    <row r="11" spans="1:9" x14ac:dyDescent="0.35">
      <c r="A11" s="4" t="s">
        <v>10</v>
      </c>
      <c r="B11" s="9"/>
      <c r="C11" s="9"/>
      <c r="D11" s="10">
        <f t="shared" si="0"/>
        <v>0</v>
      </c>
      <c r="E11" s="8"/>
      <c r="F11" s="4" t="s">
        <v>5</v>
      </c>
      <c r="G11" s="14">
        <v>0</v>
      </c>
      <c r="H11" s="14">
        <v>0</v>
      </c>
      <c r="I11" s="10">
        <f t="shared" ref="I11:I19" si="1">G11-H11</f>
        <v>0</v>
      </c>
    </row>
    <row r="12" spans="1:9" x14ac:dyDescent="0.35">
      <c r="A12" s="4" t="s">
        <v>77</v>
      </c>
      <c r="B12" s="12">
        <v>0</v>
      </c>
      <c r="C12" s="12">
        <v>0</v>
      </c>
      <c r="D12" s="10">
        <f>C12-B12</f>
        <v>0</v>
      </c>
      <c r="E12" s="8"/>
      <c r="F12" s="4" t="s">
        <v>69</v>
      </c>
      <c r="G12" s="14"/>
      <c r="H12" s="14"/>
      <c r="I12" s="10">
        <f t="shared" si="1"/>
        <v>0</v>
      </c>
    </row>
    <row r="13" spans="1:9" x14ac:dyDescent="0.35">
      <c r="A13" s="37" t="str">
        <f>"Total " &amp; Table2211[[#Headers],[INCOME]]</f>
        <v>Total INCOME</v>
      </c>
      <c r="B13" s="38">
        <f>SUBTOTAL(109,Table2211[Budget])</f>
        <v>0</v>
      </c>
      <c r="C13" s="38">
        <f>SUBTOTAL(109,Table2211[Actual])</f>
        <v>0</v>
      </c>
      <c r="D13" s="39">
        <f>SUBTOTAL(109,Table2211[Difference])</f>
        <v>0</v>
      </c>
      <c r="E13" s="8"/>
      <c r="F13" s="4" t="s">
        <v>92</v>
      </c>
      <c r="G13" s="14">
        <v>0</v>
      </c>
      <c r="H13" s="14">
        <v>0</v>
      </c>
      <c r="I13" s="10">
        <f t="shared" si="1"/>
        <v>0</v>
      </c>
    </row>
    <row r="14" spans="1:9" x14ac:dyDescent="0.35">
      <c r="A14" s="8"/>
      <c r="B14" s="8"/>
      <c r="C14" s="8"/>
      <c r="D14" s="8"/>
      <c r="E14" s="8"/>
      <c r="F14" s="4" t="s">
        <v>57</v>
      </c>
      <c r="G14" s="14"/>
      <c r="H14" s="14"/>
      <c r="I14" s="10">
        <f t="shared" si="1"/>
        <v>0</v>
      </c>
    </row>
    <row r="15" spans="1:9" x14ac:dyDescent="0.35">
      <c r="A15" s="21" t="s">
        <v>9</v>
      </c>
      <c r="B15" s="22" t="s">
        <v>49</v>
      </c>
      <c r="C15" s="23" t="s">
        <v>0</v>
      </c>
      <c r="D15" s="23" t="s">
        <v>46</v>
      </c>
      <c r="E15" s="8"/>
      <c r="F15" s="4" t="s">
        <v>58</v>
      </c>
      <c r="G15" s="14">
        <v>0</v>
      </c>
      <c r="H15" s="14">
        <v>0</v>
      </c>
      <c r="I15" s="10">
        <f t="shared" si="1"/>
        <v>0</v>
      </c>
    </row>
    <row r="16" spans="1:9" x14ac:dyDescent="0.35">
      <c r="A16" s="4" t="s">
        <v>63</v>
      </c>
      <c r="B16" s="9"/>
      <c r="C16" s="9"/>
      <c r="D16" s="10">
        <f>B16-C16</f>
        <v>0</v>
      </c>
      <c r="E16" s="8"/>
      <c r="F16" s="4" t="s">
        <v>40</v>
      </c>
      <c r="G16" s="14"/>
      <c r="H16" s="14"/>
      <c r="I16" s="10">
        <f t="shared" si="1"/>
        <v>0</v>
      </c>
    </row>
    <row r="17" spans="1:9" x14ac:dyDescent="0.35">
      <c r="A17" s="4" t="s">
        <v>66</v>
      </c>
      <c r="B17" s="9"/>
      <c r="C17" s="9"/>
      <c r="D17" s="10">
        <f t="shared" ref="D17:D28" si="2">B17-C17</f>
        <v>0</v>
      </c>
      <c r="E17" s="8"/>
      <c r="F17" s="4" t="s">
        <v>71</v>
      </c>
      <c r="G17" s="14">
        <v>0</v>
      </c>
      <c r="H17" s="14">
        <v>0</v>
      </c>
      <c r="I17" s="10">
        <f t="shared" si="1"/>
        <v>0</v>
      </c>
    </row>
    <row r="18" spans="1:9" x14ac:dyDescent="0.35">
      <c r="A18" s="4" t="s">
        <v>62</v>
      </c>
      <c r="B18" s="9"/>
      <c r="C18" s="9"/>
      <c r="D18" s="10">
        <f t="shared" si="2"/>
        <v>0</v>
      </c>
      <c r="E18" s="8"/>
      <c r="F18" s="4" t="s">
        <v>74</v>
      </c>
      <c r="G18" s="14">
        <v>0</v>
      </c>
      <c r="H18" s="14">
        <v>0</v>
      </c>
      <c r="I18" s="10">
        <f t="shared" si="1"/>
        <v>0</v>
      </c>
    </row>
    <row r="19" spans="1:9" x14ac:dyDescent="0.35">
      <c r="A19" s="4" t="s">
        <v>61</v>
      </c>
      <c r="B19" s="9">
        <v>0</v>
      </c>
      <c r="C19" s="9">
        <v>0</v>
      </c>
      <c r="D19" s="10">
        <f t="shared" si="2"/>
        <v>0</v>
      </c>
      <c r="E19" s="8"/>
      <c r="F19" s="4" t="s">
        <v>70</v>
      </c>
      <c r="G19" s="14">
        <v>0</v>
      </c>
      <c r="H19" s="14">
        <v>0</v>
      </c>
      <c r="I19" s="10">
        <f t="shared" si="1"/>
        <v>0</v>
      </c>
    </row>
    <row r="20" spans="1:9" s="5" customFormat="1" x14ac:dyDescent="0.35">
      <c r="A20" s="4" t="s">
        <v>64</v>
      </c>
      <c r="B20" s="9">
        <v>0</v>
      </c>
      <c r="C20" s="9">
        <v>0</v>
      </c>
      <c r="D20" s="10">
        <f t="shared" si="2"/>
        <v>0</v>
      </c>
      <c r="E20" s="8"/>
      <c r="F20" s="37" t="str">
        <f>"Total " &amp; Table6213[[#Headers],[DAILY LIVING]]</f>
        <v>Total DAILY LIVING</v>
      </c>
      <c r="G20" s="38">
        <f>SUBTOTAL(109,Table6213[Budget])</f>
        <v>0</v>
      </c>
      <c r="H20" s="38">
        <f>SUBTOTAL(109,Table6213[Actual])</f>
        <v>0</v>
      </c>
      <c r="I20" s="39">
        <f>SUBTOTAL(109,Table6213[Difference])</f>
        <v>0</v>
      </c>
    </row>
    <row r="21" spans="1:9" x14ac:dyDescent="0.35">
      <c r="A21" s="4" t="s">
        <v>118</v>
      </c>
      <c r="B21" s="9"/>
      <c r="C21" s="9"/>
      <c r="D21" s="10">
        <f t="shared" si="2"/>
        <v>0</v>
      </c>
      <c r="E21" s="8"/>
      <c r="F21" s="8"/>
      <c r="G21" s="17"/>
      <c r="H21" s="17"/>
      <c r="I21" s="17"/>
    </row>
    <row r="22" spans="1:9" x14ac:dyDescent="0.35">
      <c r="A22" s="4" t="s">
        <v>39</v>
      </c>
      <c r="B22" s="9">
        <v>0</v>
      </c>
      <c r="C22" s="9">
        <v>0</v>
      </c>
      <c r="D22" s="10">
        <f t="shared" si="2"/>
        <v>0</v>
      </c>
      <c r="E22" s="8"/>
      <c r="F22" s="21" t="s">
        <v>78</v>
      </c>
      <c r="G22" s="22" t="s">
        <v>49</v>
      </c>
      <c r="H22" s="23" t="s">
        <v>0</v>
      </c>
      <c r="I22" s="23" t="s">
        <v>46</v>
      </c>
    </row>
    <row r="23" spans="1:9" x14ac:dyDescent="0.35">
      <c r="A23" s="4" t="s">
        <v>65</v>
      </c>
      <c r="B23" s="9"/>
      <c r="C23" s="9"/>
      <c r="D23" s="10">
        <f t="shared" si="2"/>
        <v>0</v>
      </c>
      <c r="E23" s="8"/>
      <c r="F23" s="4" t="s">
        <v>93</v>
      </c>
      <c r="G23" s="14"/>
      <c r="H23" s="14"/>
      <c r="I23" s="10">
        <f t="shared" ref="I23:I36" si="3">G23-H23</f>
        <v>0</v>
      </c>
    </row>
    <row r="24" spans="1:9" x14ac:dyDescent="0.35">
      <c r="A24" s="4" t="s">
        <v>38</v>
      </c>
      <c r="B24" s="9">
        <v>0</v>
      </c>
      <c r="C24" s="9">
        <v>0</v>
      </c>
      <c r="D24" s="10">
        <f t="shared" si="2"/>
        <v>0</v>
      </c>
      <c r="E24" s="8"/>
      <c r="F24" s="4" t="s">
        <v>123</v>
      </c>
      <c r="G24" s="14"/>
      <c r="H24" s="14"/>
      <c r="I24" s="10">
        <f t="shared" si="3"/>
        <v>0</v>
      </c>
    </row>
    <row r="25" spans="1:9" x14ac:dyDescent="0.35">
      <c r="A25" s="4" t="s">
        <v>37</v>
      </c>
      <c r="B25" s="9">
        <v>0</v>
      </c>
      <c r="C25" s="9">
        <v>0</v>
      </c>
      <c r="D25" s="10">
        <f>B25-C25</f>
        <v>0</v>
      </c>
      <c r="E25" s="8"/>
      <c r="F25" s="4" t="s">
        <v>134</v>
      </c>
      <c r="G25" s="14"/>
      <c r="H25" s="14"/>
      <c r="I25" s="10">
        <f t="shared" si="3"/>
        <v>0</v>
      </c>
    </row>
    <row r="26" spans="1:9" x14ac:dyDescent="0.35">
      <c r="A26" s="4" t="s">
        <v>73</v>
      </c>
      <c r="B26" s="9">
        <v>0</v>
      </c>
      <c r="C26" s="9">
        <v>0</v>
      </c>
      <c r="D26" s="10">
        <f t="shared" si="2"/>
        <v>0</v>
      </c>
      <c r="E26" s="8"/>
      <c r="F26" s="4" t="s">
        <v>21</v>
      </c>
      <c r="G26" s="14"/>
      <c r="H26" s="14"/>
      <c r="I26" s="10">
        <f t="shared" si="3"/>
        <v>0</v>
      </c>
    </row>
    <row r="27" spans="1:9" x14ac:dyDescent="0.35">
      <c r="A27" s="36" t="s">
        <v>75</v>
      </c>
      <c r="B27" s="9">
        <v>0</v>
      </c>
      <c r="C27" s="9">
        <v>0</v>
      </c>
      <c r="D27" s="10">
        <f t="shared" si="2"/>
        <v>0</v>
      </c>
      <c r="E27" s="8"/>
      <c r="F27" s="4" t="s">
        <v>41</v>
      </c>
      <c r="G27" s="14"/>
      <c r="H27" s="14"/>
      <c r="I27" s="10">
        <f t="shared" si="3"/>
        <v>0</v>
      </c>
    </row>
    <row r="28" spans="1:9" x14ac:dyDescent="0.35">
      <c r="A28" s="4" t="s">
        <v>10</v>
      </c>
      <c r="B28" s="14"/>
      <c r="C28" s="14"/>
      <c r="D28" s="10">
        <f t="shared" si="2"/>
        <v>0</v>
      </c>
      <c r="E28" s="8"/>
      <c r="F28" s="4" t="s">
        <v>42</v>
      </c>
      <c r="G28" s="14"/>
      <c r="H28" s="14"/>
      <c r="I28" s="10">
        <f t="shared" si="3"/>
        <v>0</v>
      </c>
    </row>
    <row r="29" spans="1:9" x14ac:dyDescent="0.35">
      <c r="A29" s="24" t="str">
        <f>"Total " &amp; Table5212[[#Headers],[HOME EXPENSES]]</f>
        <v>Total HOME EXPENSES</v>
      </c>
      <c r="B29" s="19">
        <f>SUBTOTAL(109,Table5212[Budget])</f>
        <v>0</v>
      </c>
      <c r="C29" s="19">
        <f>SUBTOTAL(109,Table5212[Actual])</f>
        <v>0</v>
      </c>
      <c r="D29" s="13">
        <f>SUBTOTAL(109,Table5212[Difference])</f>
        <v>0</v>
      </c>
      <c r="E29" s="8"/>
      <c r="F29" s="4" t="s">
        <v>122</v>
      </c>
      <c r="G29" s="14">
        <v>0</v>
      </c>
      <c r="H29" s="14"/>
      <c r="I29" s="10">
        <f t="shared" si="3"/>
        <v>0</v>
      </c>
    </row>
    <row r="30" spans="1:9" x14ac:dyDescent="0.35">
      <c r="A30" s="8"/>
      <c r="B30" s="17"/>
      <c r="C30" s="17"/>
      <c r="D30" s="17"/>
      <c r="E30" s="8"/>
      <c r="F30" s="4" t="s">
        <v>23</v>
      </c>
      <c r="G30" s="14"/>
      <c r="H30" s="14"/>
      <c r="I30" s="10">
        <f t="shared" si="3"/>
        <v>0</v>
      </c>
    </row>
    <row r="31" spans="1:9" x14ac:dyDescent="0.35">
      <c r="A31" s="21" t="s">
        <v>11</v>
      </c>
      <c r="B31" s="22" t="s">
        <v>49</v>
      </c>
      <c r="C31" s="23" t="s">
        <v>0</v>
      </c>
      <c r="D31" s="23" t="s">
        <v>46</v>
      </c>
      <c r="E31" s="8"/>
      <c r="F31" s="4" t="s">
        <v>43</v>
      </c>
      <c r="G31" s="14"/>
      <c r="H31" s="14"/>
      <c r="I31" s="10">
        <f t="shared" si="3"/>
        <v>0</v>
      </c>
    </row>
    <row r="32" spans="1:9" x14ac:dyDescent="0.35">
      <c r="A32" s="4" t="s">
        <v>12</v>
      </c>
      <c r="B32" s="14">
        <v>0</v>
      </c>
      <c r="C32" s="14">
        <v>0</v>
      </c>
      <c r="D32" s="10">
        <f>B32-C32</f>
        <v>0</v>
      </c>
      <c r="E32" s="8"/>
      <c r="F32" s="4" t="s">
        <v>24</v>
      </c>
      <c r="G32" s="14"/>
      <c r="H32" s="14"/>
      <c r="I32" s="10">
        <f t="shared" si="3"/>
        <v>0</v>
      </c>
    </row>
    <row r="33" spans="1:9" x14ac:dyDescent="0.35">
      <c r="A33" s="4" t="s">
        <v>52</v>
      </c>
      <c r="B33" s="14"/>
      <c r="C33" s="14"/>
      <c r="D33" s="10">
        <f t="shared" ref="D33:D38" si="4">B33-C33</f>
        <v>0</v>
      </c>
      <c r="E33" s="8"/>
      <c r="F33" s="4" t="s">
        <v>22</v>
      </c>
      <c r="G33" s="14"/>
      <c r="H33" s="14"/>
      <c r="I33" s="10">
        <f t="shared" si="3"/>
        <v>0</v>
      </c>
    </row>
    <row r="34" spans="1:9" x14ac:dyDescent="0.35">
      <c r="A34" s="4" t="s">
        <v>13</v>
      </c>
      <c r="B34" s="14"/>
      <c r="C34" s="14"/>
      <c r="D34" s="10">
        <f>B34-C34</f>
        <v>0</v>
      </c>
      <c r="E34" s="8"/>
      <c r="F34" s="4" t="s">
        <v>44</v>
      </c>
      <c r="G34" s="14"/>
      <c r="H34" s="14"/>
      <c r="I34" s="10">
        <f t="shared" si="3"/>
        <v>0</v>
      </c>
    </row>
    <row r="35" spans="1:9" x14ac:dyDescent="0.35">
      <c r="A35" s="4" t="s">
        <v>35</v>
      </c>
      <c r="B35" s="14"/>
      <c r="C35" s="14"/>
      <c r="D35" s="10">
        <f t="shared" si="4"/>
        <v>0</v>
      </c>
      <c r="E35" s="8"/>
      <c r="F35" s="4" t="s">
        <v>59</v>
      </c>
      <c r="G35" s="14"/>
      <c r="H35" s="14"/>
      <c r="I35" s="10">
        <f t="shared" si="3"/>
        <v>0</v>
      </c>
    </row>
    <row r="36" spans="1:9" x14ac:dyDescent="0.35">
      <c r="A36" s="4" t="s">
        <v>14</v>
      </c>
      <c r="B36" s="14">
        <v>0</v>
      </c>
      <c r="C36" s="14">
        <v>0</v>
      </c>
      <c r="D36" s="10">
        <f t="shared" si="4"/>
        <v>0</v>
      </c>
      <c r="E36" s="8"/>
      <c r="F36" s="4" t="s">
        <v>76</v>
      </c>
      <c r="G36" s="14"/>
      <c r="H36" s="14"/>
      <c r="I36" s="10">
        <f t="shared" si="3"/>
        <v>0</v>
      </c>
    </row>
    <row r="37" spans="1:9" x14ac:dyDescent="0.35">
      <c r="A37" s="4" t="s">
        <v>36</v>
      </c>
      <c r="B37" s="14">
        <v>0</v>
      </c>
      <c r="C37" s="14">
        <v>0</v>
      </c>
      <c r="D37" s="10">
        <f t="shared" si="4"/>
        <v>0</v>
      </c>
      <c r="E37" s="8"/>
      <c r="F37" s="37" t="str">
        <f>"Total " &amp; Table7214[[#Headers],[Entertainment]]</f>
        <v>Total Entertainment</v>
      </c>
      <c r="G37" s="38">
        <f>SUBTOTAL(109,Table7214[Budget])</f>
        <v>0</v>
      </c>
      <c r="H37" s="38">
        <f>SUBTOTAL(109,Table7214[Actual])</f>
        <v>0</v>
      </c>
      <c r="I37" s="39">
        <f>SUBTOTAL(109,Table7214[Difference])</f>
        <v>0</v>
      </c>
    </row>
    <row r="38" spans="1:9" x14ac:dyDescent="0.35">
      <c r="A38" s="4" t="s">
        <v>10</v>
      </c>
      <c r="B38" s="14"/>
      <c r="C38" s="14"/>
      <c r="D38" s="10">
        <f t="shared" si="4"/>
        <v>0</v>
      </c>
      <c r="E38" s="8"/>
      <c r="F38" s="8"/>
      <c r="G38" s="17"/>
      <c r="H38" s="17"/>
      <c r="I38" s="17"/>
    </row>
    <row r="39" spans="1:9" x14ac:dyDescent="0.35">
      <c r="A39" s="24" t="str">
        <f>"Total " &amp; Table20220[[#Headers],[TRANSPORTATION]]</f>
        <v>Total TRANSPORTATION</v>
      </c>
      <c r="B39" s="19">
        <f>SUBTOTAL(109,Table20220[Budget])</f>
        <v>0</v>
      </c>
      <c r="C39" s="19">
        <f>SUBTOTAL(109,Table20220[Actual])</f>
        <v>0</v>
      </c>
      <c r="D39" s="13">
        <f>SUBTOTAL(109,Table20220[Difference])</f>
        <v>0</v>
      </c>
      <c r="E39" s="8"/>
      <c r="F39" s="21" t="s">
        <v>32</v>
      </c>
      <c r="G39" s="22" t="s">
        <v>49</v>
      </c>
      <c r="H39" s="23" t="s">
        <v>0</v>
      </c>
      <c r="I39" s="23" t="s">
        <v>46</v>
      </c>
    </row>
    <row r="40" spans="1:9" x14ac:dyDescent="0.35">
      <c r="A40" s="8"/>
      <c r="B40" s="17"/>
      <c r="C40" s="17"/>
      <c r="D40" s="17"/>
      <c r="E40" s="8"/>
      <c r="F40" s="4" t="s">
        <v>29</v>
      </c>
      <c r="G40" s="14"/>
      <c r="H40" s="14"/>
      <c r="I40" s="10">
        <f>G40-H40</f>
        <v>0</v>
      </c>
    </row>
    <row r="41" spans="1:9" x14ac:dyDescent="0.35">
      <c r="A41" s="21" t="s">
        <v>15</v>
      </c>
      <c r="B41" s="22" t="s">
        <v>49</v>
      </c>
      <c r="C41" s="23" t="s">
        <v>0</v>
      </c>
      <c r="D41" s="23" t="s">
        <v>46</v>
      </c>
      <c r="E41" s="8"/>
      <c r="F41" s="4" t="s">
        <v>30</v>
      </c>
      <c r="G41" s="14"/>
      <c r="H41" s="14"/>
      <c r="I41" s="10">
        <f t="shared" ref="I41:I42" si="5">G41-H41</f>
        <v>0</v>
      </c>
    </row>
    <row r="42" spans="1:9" x14ac:dyDescent="0.35">
      <c r="A42" s="4" t="s">
        <v>53</v>
      </c>
      <c r="B42" s="14"/>
      <c r="C42" s="14"/>
      <c r="D42" s="10">
        <f t="shared" ref="D42:D48" si="6">B42-C42</f>
        <v>0</v>
      </c>
      <c r="E42" s="8"/>
      <c r="F42" s="4" t="s">
        <v>33</v>
      </c>
      <c r="G42" s="14"/>
      <c r="H42" s="14"/>
      <c r="I42" s="10">
        <f t="shared" si="5"/>
        <v>0</v>
      </c>
    </row>
    <row r="43" spans="1:9" x14ac:dyDescent="0.35">
      <c r="A43" s="4" t="s">
        <v>16</v>
      </c>
      <c r="B43" s="14">
        <v>0</v>
      </c>
      <c r="C43" s="14">
        <v>0</v>
      </c>
      <c r="D43" s="10">
        <f t="shared" si="6"/>
        <v>0</v>
      </c>
      <c r="E43" s="8"/>
      <c r="F43" s="4" t="s">
        <v>31</v>
      </c>
      <c r="G43" s="14"/>
      <c r="H43" s="14"/>
      <c r="I43" s="10">
        <f>G43-H43</f>
        <v>0</v>
      </c>
    </row>
    <row r="44" spans="1:9" x14ac:dyDescent="0.35">
      <c r="A44" s="4" t="s">
        <v>17</v>
      </c>
      <c r="B44" s="14"/>
      <c r="C44" s="14"/>
      <c r="D44" s="10">
        <f t="shared" si="6"/>
        <v>0</v>
      </c>
      <c r="E44" s="8"/>
      <c r="F44" s="4" t="s">
        <v>60</v>
      </c>
      <c r="G44" s="14"/>
      <c r="H44" s="14"/>
      <c r="I44" s="10">
        <f>G44-H44</f>
        <v>0</v>
      </c>
    </row>
    <row r="45" spans="1:9" x14ac:dyDescent="0.35">
      <c r="A45" s="4" t="s">
        <v>18</v>
      </c>
      <c r="B45" s="14">
        <v>0</v>
      </c>
      <c r="C45" s="14">
        <v>0</v>
      </c>
      <c r="D45" s="10">
        <f t="shared" si="6"/>
        <v>0</v>
      </c>
      <c r="E45" s="8"/>
      <c r="F45" s="4" t="s">
        <v>10</v>
      </c>
      <c r="G45" s="14"/>
      <c r="H45" s="14"/>
      <c r="I45" s="10">
        <f>G45-H45</f>
        <v>0</v>
      </c>
    </row>
    <row r="46" spans="1:9" x14ac:dyDescent="0.35">
      <c r="A46" s="4" t="s">
        <v>54</v>
      </c>
      <c r="B46" s="14"/>
      <c r="C46" s="14"/>
      <c r="D46" s="10">
        <f t="shared" si="6"/>
        <v>0</v>
      </c>
      <c r="E46" s="8"/>
      <c r="F46" s="24" t="str">
        <f>"Total " &amp; Table8215[[#Headers],[SAVINGS]]</f>
        <v>Total SAVINGS</v>
      </c>
      <c r="G46" s="19">
        <f>SUBTOTAL(109,Table8215[Budget])</f>
        <v>0</v>
      </c>
      <c r="H46" s="19">
        <f>SUBTOTAL(109,Table8215[Actual])</f>
        <v>0</v>
      </c>
      <c r="I46" s="13">
        <f>SUBTOTAL(109,Table8215[Difference])</f>
        <v>0</v>
      </c>
    </row>
    <row r="47" spans="1:9" x14ac:dyDescent="0.35">
      <c r="A47" s="4" t="s">
        <v>55</v>
      </c>
      <c r="B47" s="14"/>
      <c r="C47" s="14"/>
      <c r="D47" s="10">
        <f t="shared" si="6"/>
        <v>0</v>
      </c>
      <c r="E47" s="8"/>
      <c r="F47" s="8"/>
      <c r="G47" s="17"/>
      <c r="H47" s="17"/>
      <c r="I47" s="17"/>
    </row>
    <row r="48" spans="1:9" x14ac:dyDescent="0.35">
      <c r="A48" s="4" t="s">
        <v>10</v>
      </c>
      <c r="B48" s="14"/>
      <c r="C48" s="14"/>
      <c r="D48" s="10">
        <f t="shared" si="6"/>
        <v>0</v>
      </c>
      <c r="E48" s="8"/>
      <c r="F48" s="21" t="s">
        <v>34</v>
      </c>
      <c r="G48" s="22" t="s">
        <v>49</v>
      </c>
      <c r="H48" s="23" t="s">
        <v>0</v>
      </c>
      <c r="I48" s="23" t="s">
        <v>46</v>
      </c>
    </row>
    <row r="49" spans="1:9" x14ac:dyDescent="0.35">
      <c r="A49" s="24" t="str">
        <f>"Total " &amp; Table21221[[#Headers],[HEALTH]]</f>
        <v>Total HEALTH</v>
      </c>
      <c r="B49" s="19">
        <f>SUBTOTAL(109,Table21221[Budget])</f>
        <v>0</v>
      </c>
      <c r="C49" s="19">
        <f>SUBTOTAL(109,Table21221[Actual])</f>
        <v>0</v>
      </c>
      <c r="D49" s="13">
        <f>SUBTOTAL(109,Table21221[Difference])</f>
        <v>0</v>
      </c>
      <c r="E49" s="8"/>
      <c r="F49" s="4" t="s">
        <v>114</v>
      </c>
      <c r="G49" s="14">
        <v>0</v>
      </c>
      <c r="H49" s="14">
        <v>0</v>
      </c>
      <c r="I49" s="10">
        <f t="shared" ref="I49:I55" si="7">G49-H49</f>
        <v>0</v>
      </c>
    </row>
    <row r="50" spans="1:9" x14ac:dyDescent="0.35">
      <c r="A50" s="8"/>
      <c r="B50" s="17"/>
      <c r="C50" s="17"/>
      <c r="D50" s="17"/>
      <c r="E50" s="8"/>
      <c r="F50" s="4" t="s">
        <v>114</v>
      </c>
      <c r="G50" s="14">
        <v>0</v>
      </c>
      <c r="H50" s="14">
        <v>0</v>
      </c>
      <c r="I50" s="10">
        <f t="shared" si="7"/>
        <v>0</v>
      </c>
    </row>
    <row r="51" spans="1:9" x14ac:dyDescent="0.35">
      <c r="A51" s="21" t="s">
        <v>45</v>
      </c>
      <c r="B51" s="22" t="s">
        <v>49</v>
      </c>
      <c r="C51" s="23" t="s">
        <v>0</v>
      </c>
      <c r="D51" s="23" t="s">
        <v>46</v>
      </c>
      <c r="E51" s="8"/>
      <c r="F51" s="4" t="s">
        <v>114</v>
      </c>
      <c r="G51" s="14">
        <v>0</v>
      </c>
      <c r="H51" s="14">
        <v>0</v>
      </c>
      <c r="I51" s="10">
        <f t="shared" si="7"/>
        <v>0</v>
      </c>
    </row>
    <row r="52" spans="1:9" x14ac:dyDescent="0.35">
      <c r="A52" s="4" t="s">
        <v>6</v>
      </c>
      <c r="B52" s="14"/>
      <c r="C52" s="14"/>
      <c r="D52" s="10">
        <f t="shared" ref="D52:D55" si="8">B52-C52</f>
        <v>0</v>
      </c>
      <c r="E52" s="8"/>
      <c r="F52" s="4" t="s">
        <v>115</v>
      </c>
      <c r="G52" s="14">
        <v>0</v>
      </c>
      <c r="H52" s="14">
        <v>0</v>
      </c>
      <c r="I52" s="10">
        <f t="shared" si="7"/>
        <v>0</v>
      </c>
    </row>
    <row r="53" spans="1:9" x14ac:dyDescent="0.35">
      <c r="A53" s="4" t="s">
        <v>27</v>
      </c>
      <c r="B53" s="14"/>
      <c r="C53" s="14"/>
      <c r="D53" s="10">
        <f t="shared" si="8"/>
        <v>0</v>
      </c>
      <c r="E53" s="8"/>
      <c r="F53" s="4" t="s">
        <v>115</v>
      </c>
      <c r="G53" s="14">
        <v>0</v>
      </c>
      <c r="H53" s="14">
        <v>0</v>
      </c>
      <c r="I53" s="10">
        <f t="shared" si="7"/>
        <v>0</v>
      </c>
    </row>
    <row r="54" spans="1:9" x14ac:dyDescent="0.35">
      <c r="A54" s="4" t="s">
        <v>28</v>
      </c>
      <c r="B54" s="14"/>
      <c r="C54" s="14"/>
      <c r="D54" s="10">
        <f t="shared" si="8"/>
        <v>0</v>
      </c>
      <c r="E54" s="8"/>
      <c r="F54" s="4" t="s">
        <v>116</v>
      </c>
      <c r="G54" s="14"/>
      <c r="H54" s="14"/>
      <c r="I54" s="10">
        <f t="shared" si="7"/>
        <v>0</v>
      </c>
    </row>
    <row r="55" spans="1:9" x14ac:dyDescent="0.35">
      <c r="A55" s="4" t="s">
        <v>10</v>
      </c>
      <c r="B55" s="14"/>
      <c r="C55" s="14"/>
      <c r="D55" s="10">
        <f t="shared" si="8"/>
        <v>0</v>
      </c>
      <c r="E55" s="8"/>
      <c r="F55" s="4" t="s">
        <v>131</v>
      </c>
      <c r="G55" s="14"/>
      <c r="H55" s="14"/>
      <c r="I55" s="10">
        <f t="shared" si="7"/>
        <v>0</v>
      </c>
    </row>
    <row r="56" spans="1:9" x14ac:dyDescent="0.35">
      <c r="A56" s="24" t="str">
        <f>"Total " &amp; Table19219[[#Headers],[CHARITY/GIFTS]]</f>
        <v>Total CHARITY/GIFTS</v>
      </c>
      <c r="B56" s="19">
        <f>SUBTOTAL(109,Table19219[Budget])</f>
        <v>0</v>
      </c>
      <c r="C56" s="19">
        <f>SUBTOTAL(109,Table19219[Actual])</f>
        <v>0</v>
      </c>
      <c r="D56" s="13">
        <f>SUBTOTAL(109,Table19219[Difference])</f>
        <v>0</v>
      </c>
      <c r="E56" s="8"/>
      <c r="F56" s="37" t="str">
        <f>"Total " &amp; Table10216[[#Headers],[OBLIGATIONS]]</f>
        <v>Total OBLIGATIONS</v>
      </c>
      <c r="G56" s="38">
        <f>SUBTOTAL(109,Table10216[Budget])</f>
        <v>0</v>
      </c>
      <c r="H56" s="38">
        <f>SUBTOTAL(109,Table10216[Actual])</f>
        <v>0</v>
      </c>
      <c r="I56" s="39">
        <f>SUBTOTAL(109,Table10216[Difference])</f>
        <v>0</v>
      </c>
    </row>
    <row r="57" spans="1:9" x14ac:dyDescent="0.35">
      <c r="A57" s="8"/>
      <c r="B57" s="17"/>
      <c r="C57" s="17"/>
      <c r="D57" s="17"/>
      <c r="E57" s="8"/>
      <c r="F57" s="8"/>
      <c r="G57" s="17"/>
      <c r="H57" s="17"/>
      <c r="I57" s="17"/>
    </row>
    <row r="58" spans="1:9" x14ac:dyDescent="0.35">
      <c r="A58" s="21" t="s">
        <v>25</v>
      </c>
      <c r="B58" s="22" t="s">
        <v>49</v>
      </c>
      <c r="C58" s="23" t="s">
        <v>0</v>
      </c>
      <c r="D58" s="23" t="s">
        <v>46</v>
      </c>
      <c r="E58" s="8"/>
      <c r="F58" s="21" t="s">
        <v>8</v>
      </c>
      <c r="G58" s="22" t="s">
        <v>49</v>
      </c>
      <c r="H58" s="23" t="s">
        <v>0</v>
      </c>
      <c r="I58" s="23" t="s">
        <v>46</v>
      </c>
    </row>
    <row r="59" spans="1:9" x14ac:dyDescent="0.35">
      <c r="A59" s="4" t="s">
        <v>19</v>
      </c>
      <c r="B59" s="14"/>
      <c r="C59" s="14"/>
      <c r="D59" s="10">
        <f t="shared" ref="D59:D62" si="9">B59-C59</f>
        <v>0</v>
      </c>
      <c r="E59" s="8"/>
      <c r="F59" s="4" t="s">
        <v>68</v>
      </c>
      <c r="G59" s="9"/>
      <c r="H59" s="9"/>
      <c r="I59" s="10">
        <f t="shared" ref="I59:I62" si="10">G59-H59</f>
        <v>0</v>
      </c>
    </row>
    <row r="60" spans="1:9" x14ac:dyDescent="0.35">
      <c r="A60" s="4" t="s">
        <v>20</v>
      </c>
      <c r="B60" s="14"/>
      <c r="C60" s="14"/>
      <c r="D60" s="10">
        <f t="shared" si="9"/>
        <v>0</v>
      </c>
      <c r="E60" s="8"/>
      <c r="F60" s="4" t="s">
        <v>72</v>
      </c>
      <c r="G60" s="9"/>
      <c r="H60" s="9"/>
      <c r="I60" s="10">
        <f t="shared" si="10"/>
        <v>0</v>
      </c>
    </row>
    <row r="61" spans="1:9" x14ac:dyDescent="0.35">
      <c r="A61" s="4" t="s">
        <v>56</v>
      </c>
      <c r="B61" s="14"/>
      <c r="C61" s="14"/>
      <c r="D61" s="10">
        <f t="shared" si="9"/>
        <v>0</v>
      </c>
      <c r="E61" s="8"/>
      <c r="F61" s="4" t="s">
        <v>67</v>
      </c>
      <c r="G61" s="9"/>
      <c r="H61" s="9"/>
      <c r="I61" s="10">
        <f t="shared" si="10"/>
        <v>0</v>
      </c>
    </row>
    <row r="62" spans="1:9" x14ac:dyDescent="0.35">
      <c r="A62" s="4" t="s">
        <v>10</v>
      </c>
      <c r="B62" s="14"/>
      <c r="C62" s="14"/>
      <c r="D62" s="10">
        <f t="shared" si="9"/>
        <v>0</v>
      </c>
      <c r="E62" s="8"/>
      <c r="F62" s="4" t="s">
        <v>10</v>
      </c>
      <c r="G62" s="14"/>
      <c r="H62" s="14"/>
      <c r="I62" s="10">
        <f t="shared" si="10"/>
        <v>0</v>
      </c>
    </row>
    <row r="63" spans="1:9" x14ac:dyDescent="0.35">
      <c r="A63" s="24" t="str">
        <f>"Total " &amp; Table15218[[#Headers],[SUBSCRIPTIONS]]</f>
        <v>Total SUBSCRIPTIONS</v>
      </c>
      <c r="B63" s="19">
        <f>SUBTOTAL(109,Table15218[Budget])</f>
        <v>0</v>
      </c>
      <c r="C63" s="19">
        <f>SUBTOTAL(109,Table15218[Actual])</f>
        <v>0</v>
      </c>
      <c r="D63" s="13">
        <f>SUBTOTAL(109,Table15218[Difference])</f>
        <v>0</v>
      </c>
      <c r="E63" s="8"/>
      <c r="F63" s="24" t="str">
        <f>"Total " &amp; Table14217[[#Headers],[MISCELLANEOUS]]</f>
        <v>Total MISCELLANEOUS</v>
      </c>
      <c r="G63" s="19">
        <f>SUBTOTAL(109,Table14217[Budget])</f>
        <v>0</v>
      </c>
      <c r="H63" s="19">
        <f>SUBTOTAL(109,Table14217[Actual])</f>
        <v>0</v>
      </c>
      <c r="I63" s="13">
        <f>SUBTOTAL(109,Table14217[Difference])</f>
        <v>0</v>
      </c>
    </row>
    <row r="64" spans="1:9" x14ac:dyDescent="0.35">
      <c r="E64" s="8"/>
      <c r="F64" s="7"/>
    </row>
    <row r="65" spans="5:6" x14ac:dyDescent="0.35">
      <c r="E65" s="8"/>
      <c r="F65" s="7"/>
    </row>
    <row r="66" spans="5:6" x14ac:dyDescent="0.35">
      <c r="E66" s="8"/>
      <c r="F66" s="7"/>
    </row>
    <row r="67" spans="5:6" x14ac:dyDescent="0.35">
      <c r="E67" s="8"/>
      <c r="F67" s="7"/>
    </row>
    <row r="68" spans="5:6" x14ac:dyDescent="0.35">
      <c r="E68" s="8"/>
      <c r="F68" s="7"/>
    </row>
    <row r="69" spans="5:6" x14ac:dyDescent="0.35">
      <c r="E69" s="8"/>
      <c r="F69" s="7"/>
    </row>
    <row r="70" spans="5:6" x14ac:dyDescent="0.35">
      <c r="E70" s="8"/>
    </row>
    <row r="71" spans="5:6" x14ac:dyDescent="0.35">
      <c r="E71" s="8"/>
    </row>
    <row r="72" spans="5:6" x14ac:dyDescent="0.35">
      <c r="E72" s="8"/>
      <c r="F72" s="7"/>
    </row>
    <row r="73" spans="5:6" x14ac:dyDescent="0.35">
      <c r="E73" s="8"/>
      <c r="F73" s="7"/>
    </row>
    <row r="74" spans="5:6" x14ac:dyDescent="0.35">
      <c r="E74" s="15"/>
      <c r="F74" s="7"/>
    </row>
    <row r="75" spans="5:6" x14ac:dyDescent="0.35">
      <c r="E75" s="16"/>
      <c r="F75" s="7"/>
    </row>
    <row r="76" spans="5:6" x14ac:dyDescent="0.35">
      <c r="E76" s="16"/>
      <c r="F76" s="7"/>
    </row>
    <row r="77" spans="5:6" x14ac:dyDescent="0.35">
      <c r="E77" s="16"/>
      <c r="F77" s="7"/>
    </row>
    <row r="78" spans="5:6" x14ac:dyDescent="0.35">
      <c r="E78" s="16"/>
      <c r="F78" s="7"/>
    </row>
    <row r="79" spans="5:6" x14ac:dyDescent="0.35">
      <c r="E79" s="8"/>
      <c r="F79" s="7"/>
    </row>
    <row r="80" spans="5:6" x14ac:dyDescent="0.35">
      <c r="E80" s="15"/>
      <c r="F80" s="7"/>
    </row>
    <row r="81" spans="5:6" x14ac:dyDescent="0.35">
      <c r="E81" s="16"/>
      <c r="F81" s="7"/>
    </row>
    <row r="82" spans="5:6" x14ac:dyDescent="0.35">
      <c r="E82" s="16"/>
    </row>
    <row r="83" spans="5:6" x14ac:dyDescent="0.35">
      <c r="E83" s="16"/>
    </row>
    <row r="84" spans="5:6" x14ac:dyDescent="0.35">
      <c r="E84" s="20" t="s">
        <v>48</v>
      </c>
    </row>
    <row r="85" spans="5:6" x14ac:dyDescent="0.35">
      <c r="E85" s="16"/>
    </row>
    <row r="86" spans="5:6" x14ac:dyDescent="0.35">
      <c r="E86" s="16"/>
    </row>
    <row r="87" spans="5:6" x14ac:dyDescent="0.35">
      <c r="E87" s="16"/>
    </row>
    <row r="88" spans="5:6" x14ac:dyDescent="0.35">
      <c r="E88" s="16"/>
    </row>
    <row r="89" spans="5:6" x14ac:dyDescent="0.35">
      <c r="E89" s="16"/>
    </row>
    <row r="90" spans="5:6" x14ac:dyDescent="0.35">
      <c r="E90" s="8"/>
    </row>
    <row r="91" spans="5:6" x14ac:dyDescent="0.35">
      <c r="E91" s="15"/>
    </row>
    <row r="92" spans="5:6" x14ac:dyDescent="0.35">
      <c r="E92" s="7"/>
    </row>
    <row r="93" spans="5:6" x14ac:dyDescent="0.35">
      <c r="E93" s="7"/>
    </row>
    <row r="94" spans="5:6" x14ac:dyDescent="0.35">
      <c r="E94" s="7"/>
    </row>
    <row r="95" spans="5:6" x14ac:dyDescent="0.35">
      <c r="E95" s="7"/>
    </row>
    <row r="96" spans="5:6" x14ac:dyDescent="0.35">
      <c r="E96" s="7"/>
    </row>
    <row r="97" spans="5:5" x14ac:dyDescent="0.35">
      <c r="E97" s="7"/>
    </row>
    <row r="98" spans="5:5" x14ac:dyDescent="0.35">
      <c r="E98" s="7"/>
    </row>
    <row r="99" spans="5:5" x14ac:dyDescent="0.35">
      <c r="E99" s="7"/>
    </row>
    <row r="100" spans="5:5" x14ac:dyDescent="0.35">
      <c r="E100" s="7"/>
    </row>
    <row r="101" spans="5:5" x14ac:dyDescent="0.35">
      <c r="E101" s="7"/>
    </row>
    <row r="122" spans="6:6" x14ac:dyDescent="0.35">
      <c r="F122" s="7"/>
    </row>
    <row r="123" spans="6:6" x14ac:dyDescent="0.35">
      <c r="F123" s="7"/>
    </row>
    <row r="124" spans="6:6" x14ac:dyDescent="0.35">
      <c r="F124" s="7"/>
    </row>
    <row r="125" spans="6:6" x14ac:dyDescent="0.35">
      <c r="F125" s="7"/>
    </row>
    <row r="126" spans="6:6" x14ac:dyDescent="0.35">
      <c r="F126" s="7"/>
    </row>
    <row r="127" spans="6:6" x14ac:dyDescent="0.35">
      <c r="F127" s="7"/>
    </row>
    <row r="128" spans="6:6" x14ac:dyDescent="0.35">
      <c r="F128" s="7"/>
    </row>
    <row r="131" spans="5:6" x14ac:dyDescent="0.35">
      <c r="F131" s="7"/>
    </row>
    <row r="132" spans="5:6" x14ac:dyDescent="0.35">
      <c r="F132" s="7"/>
    </row>
    <row r="133" spans="5:6" x14ac:dyDescent="0.35">
      <c r="F133" s="7"/>
    </row>
    <row r="134" spans="5:6" x14ac:dyDescent="0.35">
      <c r="F134" s="7"/>
    </row>
    <row r="135" spans="5:6" x14ac:dyDescent="0.35">
      <c r="F135" s="7"/>
    </row>
    <row r="136" spans="5:6" x14ac:dyDescent="0.35">
      <c r="F136" s="7"/>
    </row>
    <row r="137" spans="5:6" x14ac:dyDescent="0.35">
      <c r="F137" s="7"/>
    </row>
    <row r="141" spans="5:6" x14ac:dyDescent="0.35">
      <c r="E141" s="6"/>
    </row>
    <row r="142" spans="5:6" x14ac:dyDescent="0.35">
      <c r="E142" s="7"/>
    </row>
    <row r="143" spans="5:6" x14ac:dyDescent="0.35">
      <c r="E143" s="7"/>
    </row>
    <row r="144" spans="5:6" x14ac:dyDescent="0.35">
      <c r="E144" s="7"/>
    </row>
    <row r="145" spans="5:5" x14ac:dyDescent="0.35">
      <c r="E145" s="7"/>
    </row>
    <row r="146" spans="5:5" x14ac:dyDescent="0.35">
      <c r="E146" s="7"/>
    </row>
    <row r="147" spans="5:5" x14ac:dyDescent="0.35">
      <c r="E147" s="7"/>
    </row>
    <row r="148" spans="5:5" x14ac:dyDescent="0.35">
      <c r="E148" s="7"/>
    </row>
    <row r="150" spans="5:5" x14ac:dyDescent="0.35">
      <c r="E150" s="6"/>
    </row>
    <row r="151" spans="5:5" x14ac:dyDescent="0.35">
      <c r="E151" s="7"/>
    </row>
    <row r="152" spans="5:5" x14ac:dyDescent="0.35">
      <c r="E152" s="7"/>
    </row>
    <row r="153" spans="5:5" x14ac:dyDescent="0.35">
      <c r="E153" s="7"/>
    </row>
    <row r="154" spans="5:5" x14ac:dyDescent="0.35">
      <c r="E154" s="7"/>
    </row>
    <row r="155" spans="5:5" x14ac:dyDescent="0.35">
      <c r="E155" s="7"/>
    </row>
    <row r="156" spans="5:5" x14ac:dyDescent="0.35">
      <c r="E156" s="7"/>
    </row>
    <row r="157" spans="5:5" x14ac:dyDescent="0.35">
      <c r="E157" s="7"/>
    </row>
  </sheetData>
  <mergeCells count="1">
    <mergeCell ref="H2:I2"/>
  </mergeCells>
  <conditionalFormatting sqref="D32:D38 D52:D55 D59:D62 D16:D28 I49:I55 D5:D13 D42:D48 I11:I19 I23:I36 I40:I45 I59:I62">
    <cfRule type="cellIs" dxfId="808" priority="2" stopIfTrue="1" operator="lessThan">
      <formula>0</formula>
    </cfRule>
  </conditionalFormatting>
  <conditionalFormatting sqref="I5">
    <cfRule type="expression" dxfId="807" priority="1">
      <formula>IF(,,H5&gt;G5)</formula>
    </cfRule>
  </conditionalFormatting>
  <pageMargins left="0.7" right="0.7" top="0.75" bottom="0.75" header="0.3" footer="0.3"/>
  <tableParts count="11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7"/>
  <sheetViews>
    <sheetView showGridLines="0" workbookViewId="0">
      <selection activeCell="C23" sqref="C23"/>
    </sheetView>
  </sheetViews>
  <sheetFormatPr defaultColWidth="9" defaultRowHeight="14.4" x14ac:dyDescent="0.35"/>
  <cols>
    <col min="1" max="1" width="25.3984375" style="1" customWidth="1"/>
    <col min="2" max="3" width="9.59765625" style="1" customWidth="1"/>
    <col min="4" max="4" width="10" style="1" bestFit="1" customWidth="1"/>
    <col min="5" max="5" width="2.59765625" style="1" customWidth="1"/>
    <col min="6" max="6" width="21.5" style="1" customWidth="1"/>
    <col min="7" max="8" width="9.59765625" style="1" customWidth="1"/>
    <col min="9" max="9" width="11.09765625" style="1" customWidth="1"/>
    <col min="10" max="16384" width="9" style="1"/>
  </cols>
  <sheetData>
    <row r="1" spans="1:9" ht="26.1" customHeight="1" x14ac:dyDescent="0.35">
      <c r="A1" s="34" t="s">
        <v>80</v>
      </c>
      <c r="B1" s="34"/>
      <c r="C1" s="34"/>
      <c r="D1" s="34"/>
      <c r="E1" s="34"/>
      <c r="F1" s="34"/>
      <c r="G1" s="34"/>
      <c r="H1" s="34"/>
      <c r="I1" s="34"/>
    </row>
    <row r="2" spans="1:9" s="2" customFormat="1" ht="13.8" x14ac:dyDescent="0.3">
      <c r="A2" s="35"/>
      <c r="B2" s="33"/>
      <c r="C2" s="33"/>
      <c r="D2" s="33"/>
      <c r="E2" s="31"/>
      <c r="F2" s="31"/>
      <c r="G2" s="32"/>
      <c r="H2" s="47"/>
      <c r="I2" s="47"/>
    </row>
    <row r="3" spans="1:9" s="2" customFormat="1" ht="12" x14ac:dyDescent="0.3">
      <c r="E3" s="3"/>
    </row>
    <row r="4" spans="1:9" x14ac:dyDescent="0.35">
      <c r="A4" s="21" t="s">
        <v>1</v>
      </c>
      <c r="B4" s="22" t="s">
        <v>49</v>
      </c>
      <c r="C4" s="23" t="s">
        <v>0</v>
      </c>
      <c r="D4" s="23" t="s">
        <v>46</v>
      </c>
      <c r="E4" s="18" t="s">
        <v>48</v>
      </c>
      <c r="F4" s="26" t="s">
        <v>51</v>
      </c>
      <c r="G4" s="27" t="s">
        <v>49</v>
      </c>
      <c r="H4" s="27" t="s">
        <v>0</v>
      </c>
      <c r="I4" s="27" t="s">
        <v>46</v>
      </c>
    </row>
    <row r="5" spans="1:9" x14ac:dyDescent="0.35">
      <c r="A5" s="4" t="s">
        <v>7</v>
      </c>
      <c r="B5" s="9"/>
      <c r="C5" s="9"/>
      <c r="D5" s="10">
        <f t="shared" ref="D5:D11" si="0">C5-B5</f>
        <v>0</v>
      </c>
      <c r="E5" s="8"/>
      <c r="F5" s="28" t="s">
        <v>2</v>
      </c>
      <c r="G5" s="25">
        <f>Table2222[[#Totals],[Budget]]</f>
        <v>0</v>
      </c>
      <c r="H5" s="25">
        <f>Table2222[[#Totals],[Actual]]</f>
        <v>0</v>
      </c>
      <c r="I5" s="25">
        <f>G5-H5</f>
        <v>0</v>
      </c>
    </row>
    <row r="6" spans="1:9" ht="15" thickBot="1" x14ac:dyDescent="0.4">
      <c r="A6" s="4" t="s">
        <v>119</v>
      </c>
      <c r="B6" s="9">
        <v>0</v>
      </c>
      <c r="C6" s="9">
        <v>0</v>
      </c>
      <c r="D6" s="10">
        <f t="shared" si="0"/>
        <v>0</v>
      </c>
      <c r="E6" s="8"/>
      <c r="F6" s="28" t="s">
        <v>3</v>
      </c>
      <c r="G6" s="25">
        <f>SUM(,Table5223[[#Totals],[Budget]],Table20231[[#Totals],[Budget]],Table21232[[#Totals],[Budget]],Table19230[[#Totals],[Budget]],Table15229[[#Totals],[Budget]],Table14228[[#Totals],[Budget]],Table10227[[#Totals],[Budget]],Table8226[[#Totals],[Budget]],Table7225[[#Totals],[Budget]],Table6224[[#Totals],[Budget]])</f>
        <v>0</v>
      </c>
      <c r="H6" s="25">
        <f>SUM(Table5223[[#Totals],[Actual]],Table20231[[#Totals],[Actual]],Table21232[[#Totals],[Actual]],Table19230[[#Totals],[Actual]],Table15229[[#Totals],[Actual]],Table14228[[#Totals],[Actual]],Table10227[[#Totals],[Actual]],Table8226[[#Totals],[Actual]],Table7225[[#Totals],[Actual]],Table6224[[#Totals],[Actual]])</f>
        <v>0</v>
      </c>
      <c r="I6" s="25">
        <f>G6-H6</f>
        <v>0</v>
      </c>
    </row>
    <row r="7" spans="1:9" ht="15" thickTop="1" x14ac:dyDescent="0.35">
      <c r="A7" s="4" t="s">
        <v>94</v>
      </c>
      <c r="B7" s="9"/>
      <c r="C7" s="9"/>
      <c r="D7" s="10">
        <f t="shared" si="0"/>
        <v>0</v>
      </c>
      <c r="E7" s="8"/>
      <c r="F7" s="29" t="s">
        <v>4</v>
      </c>
      <c r="G7" s="30">
        <f>G5-G6</f>
        <v>0</v>
      </c>
      <c r="H7" s="30">
        <f>H5-H6</f>
        <v>0</v>
      </c>
      <c r="I7" s="30">
        <f>H7-G7</f>
        <v>0</v>
      </c>
    </row>
    <row r="8" spans="1:9" s="2" customFormat="1" x14ac:dyDescent="0.35">
      <c r="A8" s="4" t="s">
        <v>121</v>
      </c>
      <c r="B8" s="9">
        <v>0</v>
      </c>
      <c r="C8" s="9">
        <v>0</v>
      </c>
      <c r="D8" s="10">
        <f t="shared" si="0"/>
        <v>0</v>
      </c>
      <c r="E8" s="11"/>
      <c r="F8" s="11"/>
      <c r="G8" s="11"/>
      <c r="H8" s="11"/>
      <c r="I8" s="11"/>
    </row>
    <row r="9" spans="1:9" x14ac:dyDescent="0.35">
      <c r="A9" s="4" t="s">
        <v>50</v>
      </c>
      <c r="B9" s="9"/>
      <c r="C9" s="9"/>
      <c r="D9" s="10">
        <f t="shared" si="0"/>
        <v>0</v>
      </c>
      <c r="E9" s="8"/>
      <c r="F9" s="11"/>
      <c r="G9" s="11"/>
      <c r="H9" s="11"/>
      <c r="I9" s="11"/>
    </row>
    <row r="10" spans="1:9" x14ac:dyDescent="0.35">
      <c r="A10" s="4" t="s">
        <v>47</v>
      </c>
      <c r="B10" s="9"/>
      <c r="C10" s="9"/>
      <c r="D10" s="10">
        <f t="shared" si="0"/>
        <v>0</v>
      </c>
      <c r="E10" s="8"/>
      <c r="F10" s="21" t="s">
        <v>26</v>
      </c>
      <c r="G10" s="22" t="s">
        <v>49</v>
      </c>
      <c r="H10" s="23" t="s">
        <v>0</v>
      </c>
      <c r="I10" s="23" t="s">
        <v>46</v>
      </c>
    </row>
    <row r="11" spans="1:9" x14ac:dyDescent="0.35">
      <c r="A11" s="4" t="s">
        <v>10</v>
      </c>
      <c r="B11" s="9"/>
      <c r="C11" s="9"/>
      <c r="D11" s="10">
        <f t="shared" si="0"/>
        <v>0</v>
      </c>
      <c r="E11" s="8"/>
      <c r="F11" s="4" t="s">
        <v>5</v>
      </c>
      <c r="G11" s="14">
        <v>0</v>
      </c>
      <c r="H11" s="14"/>
      <c r="I11" s="10">
        <f t="shared" ref="I11:I19" si="1">G11-H11</f>
        <v>0</v>
      </c>
    </row>
    <row r="12" spans="1:9" x14ac:dyDescent="0.35">
      <c r="A12" s="4" t="s">
        <v>77</v>
      </c>
      <c r="B12" s="12"/>
      <c r="C12" s="12"/>
      <c r="D12" s="10">
        <f>C12-B12</f>
        <v>0</v>
      </c>
      <c r="E12" s="8"/>
      <c r="F12" s="4" t="s">
        <v>69</v>
      </c>
      <c r="G12" s="14">
        <v>0</v>
      </c>
      <c r="H12" s="14">
        <v>0</v>
      </c>
      <c r="I12" s="10">
        <f t="shared" si="1"/>
        <v>0</v>
      </c>
    </row>
    <row r="13" spans="1:9" x14ac:dyDescent="0.35">
      <c r="A13" s="37" t="str">
        <f>"Total " &amp; Table2222[[#Headers],[INCOME]]</f>
        <v>Total INCOME</v>
      </c>
      <c r="B13" s="38">
        <f>SUBTOTAL(109,Table2222[Budget])</f>
        <v>0</v>
      </c>
      <c r="C13" s="38">
        <f>SUBTOTAL(109,Table2222[Actual])</f>
        <v>0</v>
      </c>
      <c r="D13" s="39">
        <f>SUBTOTAL(109,Table2222[Difference])</f>
        <v>0</v>
      </c>
      <c r="E13" s="8"/>
      <c r="F13" s="4" t="s">
        <v>92</v>
      </c>
      <c r="G13" s="14">
        <v>0</v>
      </c>
      <c r="H13" s="14">
        <v>0</v>
      </c>
      <c r="I13" s="10">
        <f t="shared" si="1"/>
        <v>0</v>
      </c>
    </row>
    <row r="14" spans="1:9" x14ac:dyDescent="0.35">
      <c r="A14" s="8"/>
      <c r="B14" s="8"/>
      <c r="C14" s="8"/>
      <c r="D14" s="8"/>
      <c r="E14" s="8"/>
      <c r="F14" s="4" t="s">
        <v>57</v>
      </c>
      <c r="G14" s="14"/>
      <c r="H14" s="14"/>
      <c r="I14" s="10">
        <f t="shared" si="1"/>
        <v>0</v>
      </c>
    </row>
    <row r="15" spans="1:9" x14ac:dyDescent="0.35">
      <c r="A15" s="21" t="s">
        <v>9</v>
      </c>
      <c r="B15" s="22" t="s">
        <v>49</v>
      </c>
      <c r="C15" s="23" t="s">
        <v>0</v>
      </c>
      <c r="D15" s="23" t="s">
        <v>46</v>
      </c>
      <c r="E15" s="8"/>
      <c r="F15" s="4" t="s">
        <v>58</v>
      </c>
      <c r="G15" s="14">
        <v>0</v>
      </c>
      <c r="H15" s="14">
        <v>0</v>
      </c>
      <c r="I15" s="10">
        <f t="shared" si="1"/>
        <v>0</v>
      </c>
    </row>
    <row r="16" spans="1:9" x14ac:dyDescent="0.35">
      <c r="A16" s="4" t="s">
        <v>63</v>
      </c>
      <c r="B16" s="9">
        <v>0</v>
      </c>
      <c r="C16" s="9">
        <v>0</v>
      </c>
      <c r="D16" s="10">
        <f>B16-C16</f>
        <v>0</v>
      </c>
      <c r="E16" s="8"/>
      <c r="F16" s="4" t="s">
        <v>40</v>
      </c>
      <c r="G16" s="14"/>
      <c r="H16" s="14"/>
      <c r="I16" s="10">
        <f t="shared" si="1"/>
        <v>0</v>
      </c>
    </row>
    <row r="17" spans="1:9" x14ac:dyDescent="0.35">
      <c r="A17" s="4" t="s">
        <v>66</v>
      </c>
      <c r="B17" s="9"/>
      <c r="C17" s="9"/>
      <c r="D17" s="10">
        <f t="shared" ref="D17:D28" si="2">B17-C17</f>
        <v>0</v>
      </c>
      <c r="E17" s="8"/>
      <c r="F17" s="4" t="s">
        <v>71</v>
      </c>
      <c r="G17" s="14">
        <v>0</v>
      </c>
      <c r="H17" s="14">
        <v>0</v>
      </c>
      <c r="I17" s="10">
        <f t="shared" si="1"/>
        <v>0</v>
      </c>
    </row>
    <row r="18" spans="1:9" x14ac:dyDescent="0.35">
      <c r="A18" s="4" t="s">
        <v>62</v>
      </c>
      <c r="B18" s="9"/>
      <c r="C18" s="9"/>
      <c r="D18" s="10">
        <f t="shared" si="2"/>
        <v>0</v>
      </c>
      <c r="E18" s="8"/>
      <c r="F18" s="4" t="s">
        <v>74</v>
      </c>
      <c r="G18" s="14">
        <v>0</v>
      </c>
      <c r="H18" s="14">
        <v>0</v>
      </c>
      <c r="I18" s="10">
        <f t="shared" si="1"/>
        <v>0</v>
      </c>
    </row>
    <row r="19" spans="1:9" x14ac:dyDescent="0.35">
      <c r="A19" s="4" t="s">
        <v>61</v>
      </c>
      <c r="B19" s="9">
        <v>0</v>
      </c>
      <c r="C19" s="9">
        <v>0</v>
      </c>
      <c r="D19" s="10">
        <f t="shared" si="2"/>
        <v>0</v>
      </c>
      <c r="E19" s="8"/>
      <c r="F19" s="4" t="s">
        <v>70</v>
      </c>
      <c r="G19" s="14">
        <v>0</v>
      </c>
      <c r="H19" s="14">
        <v>0</v>
      </c>
      <c r="I19" s="10">
        <f t="shared" si="1"/>
        <v>0</v>
      </c>
    </row>
    <row r="20" spans="1:9" s="5" customFormat="1" x14ac:dyDescent="0.35">
      <c r="A20" s="4" t="s">
        <v>64</v>
      </c>
      <c r="B20" s="9">
        <v>0</v>
      </c>
      <c r="C20" s="9">
        <v>0</v>
      </c>
      <c r="D20" s="10">
        <f t="shared" si="2"/>
        <v>0</v>
      </c>
      <c r="E20" s="8"/>
      <c r="F20" s="37" t="str">
        <f>"Total " &amp; Table6224[[#Headers],[DAILY LIVING]]</f>
        <v>Total DAILY LIVING</v>
      </c>
      <c r="G20" s="38">
        <f>SUBTOTAL(109,Table6224[Budget])</f>
        <v>0</v>
      </c>
      <c r="H20" s="38">
        <f>SUBTOTAL(109,Table6224[Actual])</f>
        <v>0</v>
      </c>
      <c r="I20" s="39">
        <f>SUBTOTAL(109,Table6224[Difference])</f>
        <v>0</v>
      </c>
    </row>
    <row r="21" spans="1:9" x14ac:dyDescent="0.35">
      <c r="A21" s="4" t="s">
        <v>118</v>
      </c>
      <c r="B21" s="9">
        <v>0</v>
      </c>
      <c r="C21" s="9">
        <v>0</v>
      </c>
      <c r="D21" s="10">
        <f t="shared" si="2"/>
        <v>0</v>
      </c>
      <c r="E21" s="8"/>
      <c r="F21" s="8"/>
      <c r="G21" s="17"/>
      <c r="H21" s="17"/>
      <c r="I21" s="17"/>
    </row>
    <row r="22" spans="1:9" x14ac:dyDescent="0.35">
      <c r="A22" s="4" t="s">
        <v>39</v>
      </c>
      <c r="B22" s="9">
        <v>0</v>
      </c>
      <c r="C22" s="9">
        <v>0</v>
      </c>
      <c r="D22" s="10">
        <f t="shared" si="2"/>
        <v>0</v>
      </c>
      <c r="E22" s="8"/>
      <c r="F22" s="21" t="s">
        <v>78</v>
      </c>
      <c r="G22" s="22" t="s">
        <v>49</v>
      </c>
      <c r="H22" s="23" t="s">
        <v>0</v>
      </c>
      <c r="I22" s="23" t="s">
        <v>46</v>
      </c>
    </row>
    <row r="23" spans="1:9" x14ac:dyDescent="0.35">
      <c r="A23" s="4" t="s">
        <v>65</v>
      </c>
      <c r="B23" s="9"/>
      <c r="C23" s="9"/>
      <c r="D23" s="10">
        <f t="shared" si="2"/>
        <v>0</v>
      </c>
      <c r="E23" s="8"/>
      <c r="F23" s="4" t="s">
        <v>93</v>
      </c>
      <c r="G23" s="14"/>
      <c r="H23" s="14"/>
      <c r="I23" s="10">
        <f t="shared" ref="I23:I36" si="3">G23-H23</f>
        <v>0</v>
      </c>
    </row>
    <row r="24" spans="1:9" x14ac:dyDescent="0.35">
      <c r="A24" s="4" t="s">
        <v>38</v>
      </c>
      <c r="B24" s="9"/>
      <c r="C24" s="9"/>
      <c r="D24" s="10">
        <f t="shared" si="2"/>
        <v>0</v>
      </c>
      <c r="E24" s="8"/>
      <c r="F24" s="4" t="s">
        <v>134</v>
      </c>
      <c r="G24" s="14"/>
      <c r="H24" s="14"/>
      <c r="I24" s="10">
        <f t="shared" si="3"/>
        <v>0</v>
      </c>
    </row>
    <row r="25" spans="1:9" x14ac:dyDescent="0.35">
      <c r="A25" s="4" t="s">
        <v>37</v>
      </c>
      <c r="B25" s="9">
        <v>0</v>
      </c>
      <c r="C25" s="9">
        <v>0</v>
      </c>
      <c r="D25" s="10">
        <f>B25-C25</f>
        <v>0</v>
      </c>
      <c r="E25" s="8"/>
      <c r="F25" s="4"/>
      <c r="G25" s="14"/>
      <c r="H25" s="14"/>
      <c r="I25" s="10">
        <f t="shared" si="3"/>
        <v>0</v>
      </c>
    </row>
    <row r="26" spans="1:9" x14ac:dyDescent="0.35">
      <c r="A26" s="4" t="s">
        <v>73</v>
      </c>
      <c r="B26" s="9">
        <v>0</v>
      </c>
      <c r="C26" s="9">
        <v>0</v>
      </c>
      <c r="D26" s="10">
        <f t="shared" si="2"/>
        <v>0</v>
      </c>
      <c r="E26" s="8"/>
      <c r="F26" s="4" t="s">
        <v>21</v>
      </c>
      <c r="G26" s="14"/>
      <c r="H26" s="14"/>
      <c r="I26" s="10">
        <f t="shared" si="3"/>
        <v>0</v>
      </c>
    </row>
    <row r="27" spans="1:9" x14ac:dyDescent="0.35">
      <c r="A27" s="36" t="s">
        <v>75</v>
      </c>
      <c r="B27" s="9">
        <v>0</v>
      </c>
      <c r="C27" s="9">
        <v>0</v>
      </c>
      <c r="D27" s="10">
        <f t="shared" si="2"/>
        <v>0</v>
      </c>
      <c r="E27" s="8"/>
      <c r="F27" s="4" t="s">
        <v>41</v>
      </c>
      <c r="G27" s="14"/>
      <c r="H27" s="14"/>
      <c r="I27" s="10">
        <f t="shared" si="3"/>
        <v>0</v>
      </c>
    </row>
    <row r="28" spans="1:9" x14ac:dyDescent="0.35">
      <c r="A28" s="4" t="s">
        <v>10</v>
      </c>
      <c r="B28" s="14"/>
      <c r="C28" s="14"/>
      <c r="D28" s="10">
        <f t="shared" si="2"/>
        <v>0</v>
      </c>
      <c r="E28" s="8"/>
      <c r="F28" s="4" t="s">
        <v>42</v>
      </c>
      <c r="G28" s="14"/>
      <c r="H28" s="14"/>
      <c r="I28" s="10">
        <f t="shared" si="3"/>
        <v>0</v>
      </c>
    </row>
    <row r="29" spans="1:9" x14ac:dyDescent="0.35">
      <c r="A29" s="24" t="str">
        <f>"Total " &amp; Table5223[[#Headers],[HOME EXPENSES]]</f>
        <v>Total HOME EXPENSES</v>
      </c>
      <c r="B29" s="19">
        <f>SUBTOTAL(109,Table5223[Budget])</f>
        <v>0</v>
      </c>
      <c r="C29" s="19">
        <f>SUBTOTAL(109,Table5223[Actual])</f>
        <v>0</v>
      </c>
      <c r="D29" s="13">
        <f>SUBTOTAL(109,Table5223[Difference])</f>
        <v>0</v>
      </c>
      <c r="E29" s="8"/>
      <c r="F29" s="4"/>
      <c r="G29" s="14"/>
      <c r="H29" s="14"/>
      <c r="I29" s="10">
        <f t="shared" si="3"/>
        <v>0</v>
      </c>
    </row>
    <row r="30" spans="1:9" x14ac:dyDescent="0.35">
      <c r="A30" s="8"/>
      <c r="B30" s="17"/>
      <c r="C30" s="17"/>
      <c r="D30" s="17"/>
      <c r="E30" s="8"/>
      <c r="F30" s="4" t="s">
        <v>23</v>
      </c>
      <c r="G30" s="14"/>
      <c r="H30" s="14"/>
      <c r="I30" s="10">
        <f t="shared" si="3"/>
        <v>0</v>
      </c>
    </row>
    <row r="31" spans="1:9" x14ac:dyDescent="0.35">
      <c r="A31" s="21" t="s">
        <v>11</v>
      </c>
      <c r="B31" s="22" t="s">
        <v>49</v>
      </c>
      <c r="C31" s="23" t="s">
        <v>0</v>
      </c>
      <c r="D31" s="23" t="s">
        <v>46</v>
      </c>
      <c r="E31" s="8"/>
      <c r="F31" s="4" t="s">
        <v>43</v>
      </c>
      <c r="G31" s="14"/>
      <c r="H31" s="14"/>
      <c r="I31" s="10">
        <f t="shared" si="3"/>
        <v>0</v>
      </c>
    </row>
    <row r="32" spans="1:9" x14ac:dyDescent="0.35">
      <c r="A32" s="4" t="s">
        <v>12</v>
      </c>
      <c r="B32" s="14">
        <v>0</v>
      </c>
      <c r="C32" s="14">
        <v>0</v>
      </c>
      <c r="D32" s="10">
        <f>B32-C32</f>
        <v>0</v>
      </c>
      <c r="E32" s="8"/>
      <c r="F32" s="4" t="s">
        <v>24</v>
      </c>
      <c r="G32" s="14"/>
      <c r="H32" s="14"/>
      <c r="I32" s="10">
        <f t="shared" si="3"/>
        <v>0</v>
      </c>
    </row>
    <row r="33" spans="1:9" x14ac:dyDescent="0.35">
      <c r="A33" s="4" t="s">
        <v>52</v>
      </c>
      <c r="B33" s="14"/>
      <c r="C33" s="14"/>
      <c r="D33" s="10">
        <f t="shared" ref="D33:D38" si="4">B33-C33</f>
        <v>0</v>
      </c>
      <c r="E33" s="8"/>
      <c r="F33" s="4" t="s">
        <v>22</v>
      </c>
      <c r="G33" s="14"/>
      <c r="H33" s="14"/>
      <c r="I33" s="10">
        <f t="shared" si="3"/>
        <v>0</v>
      </c>
    </row>
    <row r="34" spans="1:9" x14ac:dyDescent="0.35">
      <c r="A34" s="4" t="s">
        <v>13</v>
      </c>
      <c r="B34" s="14"/>
      <c r="C34" s="14"/>
      <c r="D34" s="10">
        <f>B34-C34</f>
        <v>0</v>
      </c>
      <c r="E34" s="8"/>
      <c r="F34" s="4" t="s">
        <v>44</v>
      </c>
      <c r="G34" s="14"/>
      <c r="H34" s="14"/>
      <c r="I34" s="10">
        <f t="shared" si="3"/>
        <v>0</v>
      </c>
    </row>
    <row r="35" spans="1:9" x14ac:dyDescent="0.35">
      <c r="A35" s="4" t="s">
        <v>35</v>
      </c>
      <c r="B35" s="14"/>
      <c r="C35" s="14"/>
      <c r="D35" s="10">
        <f t="shared" si="4"/>
        <v>0</v>
      </c>
      <c r="E35" s="8"/>
      <c r="F35" s="4" t="s">
        <v>59</v>
      </c>
      <c r="G35" s="14"/>
      <c r="H35" s="14"/>
      <c r="I35" s="10">
        <f t="shared" si="3"/>
        <v>0</v>
      </c>
    </row>
    <row r="36" spans="1:9" x14ac:dyDescent="0.35">
      <c r="A36" s="4" t="s">
        <v>14</v>
      </c>
      <c r="B36" s="14"/>
      <c r="C36" s="14"/>
      <c r="D36" s="10">
        <f t="shared" si="4"/>
        <v>0</v>
      </c>
      <c r="E36" s="8"/>
      <c r="F36" s="4" t="s">
        <v>76</v>
      </c>
      <c r="G36" s="14"/>
      <c r="H36" s="14"/>
      <c r="I36" s="10">
        <f t="shared" si="3"/>
        <v>0</v>
      </c>
    </row>
    <row r="37" spans="1:9" x14ac:dyDescent="0.35">
      <c r="A37" s="4" t="s">
        <v>36</v>
      </c>
      <c r="B37" s="14">
        <v>0</v>
      </c>
      <c r="C37" s="14">
        <v>0</v>
      </c>
      <c r="D37" s="10">
        <f t="shared" si="4"/>
        <v>0</v>
      </c>
      <c r="E37" s="8"/>
      <c r="F37" s="37" t="str">
        <f>"Total " &amp; Table7225[[#Headers],[Entertainment]]</f>
        <v>Total Entertainment</v>
      </c>
      <c r="G37" s="38">
        <f>SUBTOTAL(109,Table7225[Budget])</f>
        <v>0</v>
      </c>
      <c r="H37" s="38">
        <f>SUBTOTAL(109,Table7225[Actual])</f>
        <v>0</v>
      </c>
      <c r="I37" s="39">
        <f>SUBTOTAL(109,Table7225[Difference])</f>
        <v>0</v>
      </c>
    </row>
    <row r="38" spans="1:9" x14ac:dyDescent="0.35">
      <c r="A38" s="4" t="s">
        <v>10</v>
      </c>
      <c r="B38" s="14"/>
      <c r="C38" s="14"/>
      <c r="D38" s="10">
        <f t="shared" si="4"/>
        <v>0</v>
      </c>
      <c r="E38" s="8"/>
      <c r="F38" s="8"/>
      <c r="G38" s="17"/>
      <c r="H38" s="17"/>
      <c r="I38" s="17"/>
    </row>
    <row r="39" spans="1:9" x14ac:dyDescent="0.35">
      <c r="A39" s="24" t="str">
        <f>"Total " &amp; Table20231[[#Headers],[TRANSPORTATION]]</f>
        <v>Total TRANSPORTATION</v>
      </c>
      <c r="B39" s="19">
        <f>SUBTOTAL(109,Table20231[Budget])</f>
        <v>0</v>
      </c>
      <c r="C39" s="19">
        <f>SUBTOTAL(109,Table20231[Actual])</f>
        <v>0</v>
      </c>
      <c r="D39" s="13">
        <f>SUBTOTAL(109,Table20231[Difference])</f>
        <v>0</v>
      </c>
      <c r="E39" s="8"/>
      <c r="F39" s="21" t="s">
        <v>32</v>
      </c>
      <c r="G39" s="22" t="s">
        <v>49</v>
      </c>
      <c r="H39" s="23" t="s">
        <v>0</v>
      </c>
      <c r="I39" s="23" t="s">
        <v>46</v>
      </c>
    </row>
    <row r="40" spans="1:9" x14ac:dyDescent="0.35">
      <c r="A40" s="8"/>
      <c r="B40" s="17"/>
      <c r="C40" s="17"/>
      <c r="D40" s="17"/>
      <c r="E40" s="8"/>
      <c r="F40" s="4" t="s">
        <v>29</v>
      </c>
      <c r="G40" s="14"/>
      <c r="H40" s="14"/>
      <c r="I40" s="10">
        <f>G40-H40</f>
        <v>0</v>
      </c>
    </row>
    <row r="41" spans="1:9" x14ac:dyDescent="0.35">
      <c r="A41" s="21" t="s">
        <v>15</v>
      </c>
      <c r="B41" s="22" t="s">
        <v>49</v>
      </c>
      <c r="C41" s="23" t="s">
        <v>0</v>
      </c>
      <c r="D41" s="23" t="s">
        <v>46</v>
      </c>
      <c r="E41" s="8"/>
      <c r="F41" s="4" t="s">
        <v>30</v>
      </c>
      <c r="G41" s="14"/>
      <c r="H41" s="14"/>
      <c r="I41" s="10">
        <f t="shared" ref="I41:I42" si="5">G41-H41</f>
        <v>0</v>
      </c>
    </row>
    <row r="42" spans="1:9" x14ac:dyDescent="0.35">
      <c r="A42" s="4" t="s">
        <v>53</v>
      </c>
      <c r="B42" s="14"/>
      <c r="C42" s="14"/>
      <c r="D42" s="10">
        <f t="shared" ref="D42:D48" si="6">B42-C42</f>
        <v>0</v>
      </c>
      <c r="E42" s="8"/>
      <c r="F42" s="4" t="s">
        <v>33</v>
      </c>
      <c r="G42" s="14"/>
      <c r="H42" s="14"/>
      <c r="I42" s="10">
        <f t="shared" si="5"/>
        <v>0</v>
      </c>
    </row>
    <row r="43" spans="1:9" x14ac:dyDescent="0.35">
      <c r="A43" s="4" t="s">
        <v>16</v>
      </c>
      <c r="B43" s="14">
        <v>0</v>
      </c>
      <c r="C43" s="14">
        <v>0</v>
      </c>
      <c r="D43" s="10">
        <f t="shared" si="6"/>
        <v>0</v>
      </c>
      <c r="E43" s="8"/>
      <c r="F43" s="4" t="s">
        <v>31</v>
      </c>
      <c r="G43" s="14"/>
      <c r="H43" s="14"/>
      <c r="I43" s="10">
        <f>G43-H43</f>
        <v>0</v>
      </c>
    </row>
    <row r="44" spans="1:9" x14ac:dyDescent="0.35">
      <c r="A44" s="4" t="s">
        <v>17</v>
      </c>
      <c r="B44" s="14"/>
      <c r="C44" s="14"/>
      <c r="D44" s="10">
        <f t="shared" si="6"/>
        <v>0</v>
      </c>
      <c r="E44" s="8"/>
      <c r="F44" s="4" t="s">
        <v>60</v>
      </c>
      <c r="G44" s="14"/>
      <c r="H44" s="14"/>
      <c r="I44" s="10">
        <f>G44-H44</f>
        <v>0</v>
      </c>
    </row>
    <row r="45" spans="1:9" x14ac:dyDescent="0.35">
      <c r="A45" s="4" t="s">
        <v>18</v>
      </c>
      <c r="B45" s="14">
        <v>0</v>
      </c>
      <c r="C45" s="14">
        <v>0</v>
      </c>
      <c r="D45" s="10">
        <f t="shared" si="6"/>
        <v>0</v>
      </c>
      <c r="E45" s="8"/>
      <c r="F45" s="4" t="s">
        <v>10</v>
      </c>
      <c r="G45" s="14"/>
      <c r="H45" s="14"/>
      <c r="I45" s="10">
        <f>G45-H45</f>
        <v>0</v>
      </c>
    </row>
    <row r="46" spans="1:9" x14ac:dyDescent="0.35">
      <c r="A46" s="4" t="s">
        <v>54</v>
      </c>
      <c r="B46" s="14"/>
      <c r="C46" s="14"/>
      <c r="D46" s="10">
        <f t="shared" si="6"/>
        <v>0</v>
      </c>
      <c r="E46" s="8"/>
      <c r="F46" s="24" t="str">
        <f>"Total " &amp; Table8226[[#Headers],[SAVINGS]]</f>
        <v>Total SAVINGS</v>
      </c>
      <c r="G46" s="19">
        <f>SUBTOTAL(109,Table8226[Budget])</f>
        <v>0</v>
      </c>
      <c r="H46" s="19">
        <f>SUBTOTAL(109,Table8226[Actual])</f>
        <v>0</v>
      </c>
      <c r="I46" s="13">
        <f>SUBTOTAL(109,Table8226[Difference])</f>
        <v>0</v>
      </c>
    </row>
    <row r="47" spans="1:9" x14ac:dyDescent="0.35">
      <c r="A47" s="4" t="s">
        <v>55</v>
      </c>
      <c r="B47" s="14"/>
      <c r="C47" s="14"/>
      <c r="D47" s="10">
        <f t="shared" si="6"/>
        <v>0</v>
      </c>
      <c r="E47" s="8"/>
      <c r="F47" s="8"/>
      <c r="G47" s="17"/>
      <c r="H47" s="17"/>
      <c r="I47" s="17"/>
    </row>
    <row r="48" spans="1:9" x14ac:dyDescent="0.35">
      <c r="A48" s="4" t="s">
        <v>10</v>
      </c>
      <c r="B48" s="14"/>
      <c r="C48" s="14"/>
      <c r="D48" s="10">
        <f t="shared" si="6"/>
        <v>0</v>
      </c>
      <c r="E48" s="8"/>
      <c r="F48" s="21" t="s">
        <v>34</v>
      </c>
      <c r="G48" s="22" t="s">
        <v>49</v>
      </c>
      <c r="H48" s="23" t="s">
        <v>0</v>
      </c>
      <c r="I48" s="23" t="s">
        <v>46</v>
      </c>
    </row>
    <row r="49" spans="1:9" x14ac:dyDescent="0.35">
      <c r="A49" s="24" t="str">
        <f>"Total " &amp; Table21232[[#Headers],[HEALTH]]</f>
        <v>Total HEALTH</v>
      </c>
      <c r="B49" s="19">
        <f>SUBTOTAL(109,Table21232[Budget])</f>
        <v>0</v>
      </c>
      <c r="C49" s="19">
        <f>SUBTOTAL(109,Table21232[Actual])</f>
        <v>0</v>
      </c>
      <c r="D49" s="13">
        <f>SUBTOTAL(109,Table21232[Difference])</f>
        <v>0</v>
      </c>
      <c r="E49" s="8"/>
      <c r="F49" s="4" t="s">
        <v>114</v>
      </c>
      <c r="G49" s="14">
        <v>0</v>
      </c>
      <c r="H49" s="14">
        <v>0</v>
      </c>
      <c r="I49" s="10">
        <f t="shared" ref="I49:I55" si="7">G49-H49</f>
        <v>0</v>
      </c>
    </row>
    <row r="50" spans="1:9" x14ac:dyDescent="0.35">
      <c r="A50" s="8"/>
      <c r="B50" s="17"/>
      <c r="C50" s="17"/>
      <c r="D50" s="17"/>
      <c r="E50" s="8"/>
      <c r="F50" s="4" t="s">
        <v>114</v>
      </c>
      <c r="G50" s="14">
        <v>0</v>
      </c>
      <c r="H50" s="14">
        <v>0</v>
      </c>
      <c r="I50" s="10">
        <f t="shared" si="7"/>
        <v>0</v>
      </c>
    </row>
    <row r="51" spans="1:9" x14ac:dyDescent="0.35">
      <c r="A51" s="21" t="s">
        <v>45</v>
      </c>
      <c r="B51" s="22" t="s">
        <v>49</v>
      </c>
      <c r="C51" s="23" t="s">
        <v>0</v>
      </c>
      <c r="D51" s="23" t="s">
        <v>46</v>
      </c>
      <c r="E51" s="8"/>
      <c r="F51" s="4" t="s">
        <v>114</v>
      </c>
      <c r="G51" s="14">
        <v>0</v>
      </c>
      <c r="H51" s="14">
        <v>0</v>
      </c>
      <c r="I51" s="10">
        <f t="shared" si="7"/>
        <v>0</v>
      </c>
    </row>
    <row r="52" spans="1:9" x14ac:dyDescent="0.35">
      <c r="A52" s="4" t="s">
        <v>6</v>
      </c>
      <c r="B52" s="14"/>
      <c r="C52" s="14"/>
      <c r="D52" s="10">
        <f t="shared" ref="D52:D55" si="8">B52-C52</f>
        <v>0</v>
      </c>
      <c r="E52" s="8"/>
      <c r="F52" s="4" t="s">
        <v>115</v>
      </c>
      <c r="G52" s="14">
        <v>0</v>
      </c>
      <c r="H52" s="14">
        <v>0</v>
      </c>
      <c r="I52" s="10">
        <f t="shared" si="7"/>
        <v>0</v>
      </c>
    </row>
    <row r="53" spans="1:9" x14ac:dyDescent="0.35">
      <c r="A53" s="4" t="s">
        <v>27</v>
      </c>
      <c r="B53" s="14"/>
      <c r="C53" s="14"/>
      <c r="D53" s="10">
        <f t="shared" si="8"/>
        <v>0</v>
      </c>
      <c r="E53" s="8"/>
      <c r="F53" s="4" t="s">
        <v>115</v>
      </c>
      <c r="G53" s="14">
        <v>0</v>
      </c>
      <c r="H53" s="14">
        <v>0</v>
      </c>
      <c r="I53" s="10">
        <f t="shared" si="7"/>
        <v>0</v>
      </c>
    </row>
    <row r="54" spans="1:9" x14ac:dyDescent="0.35">
      <c r="A54" s="4" t="s">
        <v>28</v>
      </c>
      <c r="B54" s="14"/>
      <c r="C54" s="14"/>
      <c r="D54" s="10">
        <f t="shared" si="8"/>
        <v>0</v>
      </c>
      <c r="E54" s="8"/>
      <c r="F54" s="4" t="s">
        <v>116</v>
      </c>
      <c r="G54" s="14"/>
      <c r="H54" s="14"/>
      <c r="I54" s="10">
        <f t="shared" si="7"/>
        <v>0</v>
      </c>
    </row>
    <row r="55" spans="1:9" x14ac:dyDescent="0.35">
      <c r="A55" s="4" t="s">
        <v>10</v>
      </c>
      <c r="B55" s="14"/>
      <c r="C55" s="14"/>
      <c r="D55" s="10">
        <f t="shared" si="8"/>
        <v>0</v>
      </c>
      <c r="E55" s="8"/>
      <c r="F55" s="4" t="s">
        <v>131</v>
      </c>
      <c r="G55" s="14"/>
      <c r="H55" s="14"/>
      <c r="I55" s="10">
        <f t="shared" si="7"/>
        <v>0</v>
      </c>
    </row>
    <row r="56" spans="1:9" x14ac:dyDescent="0.35">
      <c r="A56" s="24" t="str">
        <f>"Total " &amp; Table19230[[#Headers],[CHARITY/GIFTS]]</f>
        <v>Total CHARITY/GIFTS</v>
      </c>
      <c r="B56" s="19">
        <f>SUBTOTAL(109,Table19230[Budget])</f>
        <v>0</v>
      </c>
      <c r="C56" s="19">
        <f>SUBTOTAL(109,Table19230[Actual])</f>
        <v>0</v>
      </c>
      <c r="D56" s="13">
        <f>SUBTOTAL(109,Table19230[Difference])</f>
        <v>0</v>
      </c>
      <c r="E56" s="8"/>
      <c r="F56" s="37" t="str">
        <f>"Total " &amp; Table10227[[#Headers],[OBLIGATIONS]]</f>
        <v>Total OBLIGATIONS</v>
      </c>
      <c r="G56" s="38">
        <f>SUBTOTAL(109,Table10227[Budget])</f>
        <v>0</v>
      </c>
      <c r="H56" s="38">
        <f>SUBTOTAL(109,Table10227[Actual])</f>
        <v>0</v>
      </c>
      <c r="I56" s="39">
        <f>SUBTOTAL(109,Table10227[Difference])</f>
        <v>0</v>
      </c>
    </row>
    <row r="57" spans="1:9" x14ac:dyDescent="0.35">
      <c r="A57" s="8"/>
      <c r="B57" s="17"/>
      <c r="C57" s="17"/>
      <c r="D57" s="17"/>
      <c r="E57" s="8"/>
      <c r="F57" s="8"/>
      <c r="G57" s="17"/>
      <c r="H57" s="17"/>
      <c r="I57" s="17"/>
    </row>
    <row r="58" spans="1:9" x14ac:dyDescent="0.35">
      <c r="A58" s="21" t="s">
        <v>25</v>
      </c>
      <c r="B58" s="22" t="s">
        <v>49</v>
      </c>
      <c r="C58" s="23" t="s">
        <v>0</v>
      </c>
      <c r="D58" s="23" t="s">
        <v>46</v>
      </c>
      <c r="E58" s="8"/>
      <c r="F58" s="21" t="s">
        <v>8</v>
      </c>
      <c r="G58" s="22" t="s">
        <v>49</v>
      </c>
      <c r="H58" s="23" t="s">
        <v>0</v>
      </c>
      <c r="I58" s="23" t="s">
        <v>46</v>
      </c>
    </row>
    <row r="59" spans="1:9" x14ac:dyDescent="0.35">
      <c r="A59" s="4" t="s">
        <v>19</v>
      </c>
      <c r="B59" s="14"/>
      <c r="C59" s="14"/>
      <c r="D59" s="10">
        <f t="shared" ref="D59:D62" si="9">B59-C59</f>
        <v>0</v>
      </c>
      <c r="E59" s="8"/>
      <c r="F59" s="4" t="s">
        <v>68</v>
      </c>
      <c r="G59" s="9"/>
      <c r="H59" s="9"/>
      <c r="I59" s="10">
        <f t="shared" ref="I59:I62" si="10">G59-H59</f>
        <v>0</v>
      </c>
    </row>
    <row r="60" spans="1:9" x14ac:dyDescent="0.35">
      <c r="A60" s="4" t="s">
        <v>20</v>
      </c>
      <c r="B60" s="14"/>
      <c r="C60" s="14"/>
      <c r="D60" s="10">
        <f t="shared" si="9"/>
        <v>0</v>
      </c>
      <c r="E60" s="8"/>
      <c r="F60" s="4" t="s">
        <v>72</v>
      </c>
      <c r="G60" s="9"/>
      <c r="H60" s="9"/>
      <c r="I60" s="10">
        <f t="shared" si="10"/>
        <v>0</v>
      </c>
    </row>
    <row r="61" spans="1:9" x14ac:dyDescent="0.35">
      <c r="A61" s="4" t="s">
        <v>56</v>
      </c>
      <c r="B61" s="14"/>
      <c r="C61" s="14"/>
      <c r="D61" s="10">
        <f t="shared" si="9"/>
        <v>0</v>
      </c>
      <c r="E61" s="8"/>
      <c r="F61" s="4" t="s">
        <v>67</v>
      </c>
      <c r="G61" s="9"/>
      <c r="H61" s="9"/>
      <c r="I61" s="10">
        <f t="shared" si="10"/>
        <v>0</v>
      </c>
    </row>
    <row r="62" spans="1:9" x14ac:dyDescent="0.35">
      <c r="A62" s="4" t="s">
        <v>10</v>
      </c>
      <c r="B62" s="14"/>
      <c r="C62" s="14"/>
      <c r="D62" s="10">
        <f t="shared" si="9"/>
        <v>0</v>
      </c>
      <c r="E62" s="8"/>
      <c r="F62" s="4" t="s">
        <v>10</v>
      </c>
      <c r="G62" s="14"/>
      <c r="H62" s="14"/>
      <c r="I62" s="10">
        <f t="shared" si="10"/>
        <v>0</v>
      </c>
    </row>
    <row r="63" spans="1:9" x14ac:dyDescent="0.35">
      <c r="A63" s="24" t="str">
        <f>"Total " &amp; Table15229[[#Headers],[SUBSCRIPTIONS]]</f>
        <v>Total SUBSCRIPTIONS</v>
      </c>
      <c r="B63" s="19">
        <f>SUBTOTAL(109,Table15229[Budget])</f>
        <v>0</v>
      </c>
      <c r="C63" s="19">
        <f>SUBTOTAL(109,Table15229[Actual])</f>
        <v>0</v>
      </c>
      <c r="D63" s="13">
        <f>SUBTOTAL(109,Table15229[Difference])</f>
        <v>0</v>
      </c>
      <c r="E63" s="8"/>
      <c r="F63" s="24" t="str">
        <f>"Total " &amp; Table14228[[#Headers],[MISCELLANEOUS]]</f>
        <v>Total MISCELLANEOUS</v>
      </c>
      <c r="G63" s="19">
        <f>SUBTOTAL(109,Table14228[Budget])</f>
        <v>0</v>
      </c>
      <c r="H63" s="19">
        <f>SUBTOTAL(109,Table14228[Actual])</f>
        <v>0</v>
      </c>
      <c r="I63" s="13">
        <f>SUBTOTAL(109,Table14228[Difference])</f>
        <v>0</v>
      </c>
    </row>
    <row r="64" spans="1:9" x14ac:dyDescent="0.35">
      <c r="E64" s="8"/>
      <c r="F64" s="7"/>
    </row>
    <row r="65" spans="5:6" x14ac:dyDescent="0.35">
      <c r="E65" s="8"/>
      <c r="F65" s="7"/>
    </row>
    <row r="66" spans="5:6" x14ac:dyDescent="0.35">
      <c r="E66" s="8"/>
      <c r="F66" s="7"/>
    </row>
    <row r="67" spans="5:6" x14ac:dyDescent="0.35">
      <c r="E67" s="8"/>
      <c r="F67" s="7"/>
    </row>
    <row r="68" spans="5:6" x14ac:dyDescent="0.35">
      <c r="E68" s="8"/>
      <c r="F68" s="7"/>
    </row>
    <row r="69" spans="5:6" x14ac:dyDescent="0.35">
      <c r="E69" s="8"/>
      <c r="F69" s="7"/>
    </row>
    <row r="70" spans="5:6" x14ac:dyDescent="0.35">
      <c r="E70" s="8"/>
    </row>
    <row r="71" spans="5:6" x14ac:dyDescent="0.35">
      <c r="E71" s="8"/>
    </row>
    <row r="72" spans="5:6" x14ac:dyDescent="0.35">
      <c r="E72" s="8"/>
      <c r="F72" s="7"/>
    </row>
    <row r="73" spans="5:6" x14ac:dyDescent="0.35">
      <c r="E73" s="8"/>
      <c r="F73" s="7"/>
    </row>
    <row r="74" spans="5:6" x14ac:dyDescent="0.35">
      <c r="E74" s="15"/>
      <c r="F74" s="7"/>
    </row>
    <row r="75" spans="5:6" x14ac:dyDescent="0.35">
      <c r="E75" s="16"/>
      <c r="F75" s="7"/>
    </row>
    <row r="76" spans="5:6" x14ac:dyDescent="0.35">
      <c r="E76" s="16"/>
      <c r="F76" s="7"/>
    </row>
    <row r="77" spans="5:6" x14ac:dyDescent="0.35">
      <c r="E77" s="16"/>
      <c r="F77" s="7"/>
    </row>
    <row r="78" spans="5:6" x14ac:dyDescent="0.35">
      <c r="E78" s="16"/>
      <c r="F78" s="7"/>
    </row>
    <row r="79" spans="5:6" x14ac:dyDescent="0.35">
      <c r="E79" s="8"/>
      <c r="F79" s="7"/>
    </row>
    <row r="80" spans="5:6" x14ac:dyDescent="0.35">
      <c r="E80" s="15"/>
      <c r="F80" s="7"/>
    </row>
    <row r="81" spans="5:6" x14ac:dyDescent="0.35">
      <c r="E81" s="16"/>
      <c r="F81" s="7"/>
    </row>
    <row r="82" spans="5:6" x14ac:dyDescent="0.35">
      <c r="E82" s="16"/>
    </row>
    <row r="83" spans="5:6" x14ac:dyDescent="0.35">
      <c r="E83" s="16"/>
    </row>
    <row r="84" spans="5:6" x14ac:dyDescent="0.35">
      <c r="E84" s="20" t="s">
        <v>48</v>
      </c>
    </row>
    <row r="85" spans="5:6" x14ac:dyDescent="0.35">
      <c r="E85" s="16"/>
    </row>
    <row r="86" spans="5:6" x14ac:dyDescent="0.35">
      <c r="E86" s="16"/>
    </row>
    <row r="87" spans="5:6" x14ac:dyDescent="0.35">
      <c r="E87" s="16"/>
    </row>
    <row r="88" spans="5:6" x14ac:dyDescent="0.35">
      <c r="E88" s="16"/>
    </row>
    <row r="89" spans="5:6" x14ac:dyDescent="0.35">
      <c r="E89" s="16"/>
    </row>
    <row r="90" spans="5:6" x14ac:dyDescent="0.35">
      <c r="E90" s="8"/>
    </row>
    <row r="91" spans="5:6" x14ac:dyDescent="0.35">
      <c r="E91" s="15"/>
    </row>
    <row r="92" spans="5:6" x14ac:dyDescent="0.35">
      <c r="E92" s="7"/>
    </row>
    <row r="93" spans="5:6" x14ac:dyDescent="0.35">
      <c r="E93" s="7"/>
    </row>
    <row r="94" spans="5:6" x14ac:dyDescent="0.35">
      <c r="E94" s="7"/>
    </row>
    <row r="95" spans="5:6" x14ac:dyDescent="0.35">
      <c r="E95" s="7"/>
    </row>
    <row r="96" spans="5:6" x14ac:dyDescent="0.35">
      <c r="E96" s="7"/>
    </row>
    <row r="97" spans="5:5" x14ac:dyDescent="0.35">
      <c r="E97" s="7"/>
    </row>
    <row r="98" spans="5:5" x14ac:dyDescent="0.35">
      <c r="E98" s="7"/>
    </row>
    <row r="99" spans="5:5" x14ac:dyDescent="0.35">
      <c r="E99" s="7"/>
    </row>
    <row r="100" spans="5:5" x14ac:dyDescent="0.35">
      <c r="E100" s="7"/>
    </row>
    <row r="101" spans="5:5" x14ac:dyDescent="0.35">
      <c r="E101" s="7"/>
    </row>
    <row r="122" spans="6:6" x14ac:dyDescent="0.35">
      <c r="F122" s="7"/>
    </row>
    <row r="123" spans="6:6" x14ac:dyDescent="0.35">
      <c r="F123" s="7"/>
    </row>
    <row r="124" spans="6:6" x14ac:dyDescent="0.35">
      <c r="F124" s="7"/>
    </row>
    <row r="125" spans="6:6" x14ac:dyDescent="0.35">
      <c r="F125" s="7"/>
    </row>
    <row r="126" spans="6:6" x14ac:dyDescent="0.35">
      <c r="F126" s="7"/>
    </row>
    <row r="127" spans="6:6" x14ac:dyDescent="0.35">
      <c r="F127" s="7"/>
    </row>
    <row r="128" spans="6:6" x14ac:dyDescent="0.35">
      <c r="F128" s="7"/>
    </row>
    <row r="131" spans="5:6" x14ac:dyDescent="0.35">
      <c r="F131" s="7"/>
    </row>
    <row r="132" spans="5:6" x14ac:dyDescent="0.35">
      <c r="F132" s="7"/>
    </row>
    <row r="133" spans="5:6" x14ac:dyDescent="0.35">
      <c r="F133" s="7"/>
    </row>
    <row r="134" spans="5:6" x14ac:dyDescent="0.35">
      <c r="F134" s="7"/>
    </row>
    <row r="135" spans="5:6" x14ac:dyDescent="0.35">
      <c r="F135" s="7"/>
    </row>
    <row r="136" spans="5:6" x14ac:dyDescent="0.35">
      <c r="F136" s="7"/>
    </row>
    <row r="137" spans="5:6" x14ac:dyDescent="0.35">
      <c r="F137" s="7"/>
    </row>
    <row r="141" spans="5:6" x14ac:dyDescent="0.35">
      <c r="E141" s="6"/>
    </row>
    <row r="142" spans="5:6" x14ac:dyDescent="0.35">
      <c r="E142" s="7"/>
    </row>
    <row r="143" spans="5:6" x14ac:dyDescent="0.35">
      <c r="E143" s="7"/>
    </row>
    <row r="144" spans="5:6" x14ac:dyDescent="0.35">
      <c r="E144" s="7"/>
    </row>
    <row r="145" spans="5:5" x14ac:dyDescent="0.35">
      <c r="E145" s="7"/>
    </row>
    <row r="146" spans="5:5" x14ac:dyDescent="0.35">
      <c r="E146" s="7"/>
    </row>
    <row r="147" spans="5:5" x14ac:dyDescent="0.35">
      <c r="E147" s="7"/>
    </row>
    <row r="148" spans="5:5" x14ac:dyDescent="0.35">
      <c r="E148" s="7"/>
    </row>
    <row r="150" spans="5:5" x14ac:dyDescent="0.35">
      <c r="E150" s="6"/>
    </row>
    <row r="151" spans="5:5" x14ac:dyDescent="0.35">
      <c r="E151" s="7"/>
    </row>
    <row r="152" spans="5:5" x14ac:dyDescent="0.35">
      <c r="E152" s="7"/>
    </row>
    <row r="153" spans="5:5" x14ac:dyDescent="0.35">
      <c r="E153" s="7"/>
    </row>
    <row r="154" spans="5:5" x14ac:dyDescent="0.35">
      <c r="E154" s="7"/>
    </row>
    <row r="155" spans="5:5" x14ac:dyDescent="0.35">
      <c r="E155" s="7"/>
    </row>
    <row r="156" spans="5:5" x14ac:dyDescent="0.35">
      <c r="E156" s="7"/>
    </row>
    <row r="157" spans="5:5" x14ac:dyDescent="0.35">
      <c r="E157" s="7"/>
    </row>
  </sheetData>
  <mergeCells count="1">
    <mergeCell ref="H2:I2"/>
  </mergeCells>
  <conditionalFormatting sqref="D32:D38 D52:D55 D59:D62 D16:D28 I49:I55 D5:D13 D42:D48 I11:I19 I23:I36 I40:I45 I59:I62">
    <cfRule type="cellIs" dxfId="679" priority="2" stopIfTrue="1" operator="lessThan">
      <formula>0</formula>
    </cfRule>
  </conditionalFormatting>
  <conditionalFormatting sqref="I5">
    <cfRule type="expression" dxfId="678" priority="1">
      <formula>IF(,,H5&gt;G5)</formula>
    </cfRule>
  </conditionalFormatting>
  <pageMargins left="0.7" right="0.7" top="0.75" bottom="0.75" header="0.3" footer="0.3"/>
  <tableParts count="11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7"/>
  <sheetViews>
    <sheetView showGridLines="0" topLeftCell="A43" workbookViewId="0">
      <selection activeCell="H24" sqref="H24"/>
    </sheetView>
  </sheetViews>
  <sheetFormatPr defaultColWidth="9" defaultRowHeight="14.4" x14ac:dyDescent="0.35"/>
  <cols>
    <col min="1" max="1" width="25.3984375" style="1" customWidth="1"/>
    <col min="2" max="3" width="9.59765625" style="1" customWidth="1"/>
    <col min="4" max="4" width="10" style="1" bestFit="1" customWidth="1"/>
    <col min="5" max="5" width="2.59765625" style="1" customWidth="1"/>
    <col min="6" max="6" width="21.5" style="1" customWidth="1"/>
    <col min="7" max="8" width="9.59765625" style="1" customWidth="1"/>
    <col min="9" max="9" width="11.09765625" style="1" customWidth="1"/>
    <col min="10" max="16384" width="9" style="1"/>
  </cols>
  <sheetData>
    <row r="1" spans="1:9" ht="26.1" customHeight="1" x14ac:dyDescent="0.35">
      <c r="A1" s="34" t="s">
        <v>81</v>
      </c>
      <c r="B1" s="34"/>
      <c r="C1" s="34"/>
      <c r="D1" s="34"/>
      <c r="E1" s="34"/>
      <c r="F1" s="34"/>
      <c r="G1" s="34"/>
      <c r="H1" s="34"/>
      <c r="I1" s="34"/>
    </row>
    <row r="2" spans="1:9" s="2" customFormat="1" ht="13.8" x14ac:dyDescent="0.3">
      <c r="A2" s="35"/>
      <c r="B2" s="33"/>
      <c r="C2" s="33"/>
      <c r="D2" s="33"/>
      <c r="E2" s="31"/>
      <c r="F2" s="31"/>
      <c r="G2" s="32"/>
      <c r="H2" s="47"/>
      <c r="I2" s="47"/>
    </row>
    <row r="3" spans="1:9" s="2" customFormat="1" ht="12" x14ac:dyDescent="0.3">
      <c r="E3" s="3"/>
    </row>
    <row r="4" spans="1:9" x14ac:dyDescent="0.35">
      <c r="A4" s="21" t="s">
        <v>1</v>
      </c>
      <c r="B4" s="22" t="s">
        <v>49</v>
      </c>
      <c r="C4" s="23" t="s">
        <v>0</v>
      </c>
      <c r="D4" s="23" t="s">
        <v>46</v>
      </c>
      <c r="E4" s="18" t="s">
        <v>48</v>
      </c>
      <c r="F4" s="26" t="s">
        <v>51</v>
      </c>
      <c r="G4" s="27" t="s">
        <v>49</v>
      </c>
      <c r="H4" s="27" t="s">
        <v>0</v>
      </c>
      <c r="I4" s="27" t="s">
        <v>46</v>
      </c>
    </row>
    <row r="5" spans="1:9" x14ac:dyDescent="0.35">
      <c r="A5" s="4" t="s">
        <v>7</v>
      </c>
      <c r="B5" s="9">
        <v>0</v>
      </c>
      <c r="C5" s="9">
        <v>0</v>
      </c>
      <c r="D5" s="10">
        <f t="shared" ref="D5:D11" si="0">C5-B5</f>
        <v>0</v>
      </c>
      <c r="E5" s="8"/>
      <c r="F5" s="28" t="s">
        <v>2</v>
      </c>
      <c r="G5" s="25">
        <f>Table2233[[#Totals],[Budget]]</f>
        <v>0</v>
      </c>
      <c r="H5" s="25">
        <f>Table2233[[#Totals],[Actual]]</f>
        <v>0</v>
      </c>
      <c r="I5" s="25">
        <f>G5-H5</f>
        <v>0</v>
      </c>
    </row>
    <row r="6" spans="1:9" ht="15" thickBot="1" x14ac:dyDescent="0.4">
      <c r="A6" s="4" t="s">
        <v>119</v>
      </c>
      <c r="B6" s="9">
        <v>0</v>
      </c>
      <c r="C6" s="9">
        <v>0</v>
      </c>
      <c r="D6" s="10">
        <f t="shared" si="0"/>
        <v>0</v>
      </c>
      <c r="E6" s="8"/>
      <c r="F6" s="28" t="s">
        <v>3</v>
      </c>
      <c r="G6" s="25">
        <f>SUM(,Table5234[[#Totals],[Budget]],Table20242[[#Totals],[Budget]],Table21243[[#Totals],[Budget]],Table19241[[#Totals],[Budget]],Table15240[[#Totals],[Budget]],Table14239[[#Totals],[Budget]],Table10238[[#Totals],[Budget]],Table8237[[#Totals],[Budget]],Table7236[[#Totals],[Budget]],Table6235[[#Totals],[Budget]])</f>
        <v>0</v>
      </c>
      <c r="H6" s="25">
        <f>SUM(Table5234[[#Totals],[Actual]],Table20242[[#Totals],[Actual]],Table21243[[#Totals],[Actual]],Table19241[[#Totals],[Actual]],Table15240[[#Totals],[Actual]],Table14239[[#Totals],[Actual]],Table10238[[#Totals],[Actual]],Table8237[[#Totals],[Actual]],Table7236[[#Totals],[Actual]],Table6235[[#Totals],[Actual]])</f>
        <v>0</v>
      </c>
      <c r="I6" s="25">
        <f>G6-H6</f>
        <v>0</v>
      </c>
    </row>
    <row r="7" spans="1:9" ht="15" thickTop="1" x14ac:dyDescent="0.35">
      <c r="A7" s="4" t="s">
        <v>94</v>
      </c>
      <c r="B7" s="9"/>
      <c r="C7" s="9"/>
      <c r="D7" s="10">
        <f t="shared" si="0"/>
        <v>0</v>
      </c>
      <c r="E7" s="8"/>
      <c r="F7" s="29" t="s">
        <v>4</v>
      </c>
      <c r="G7" s="30">
        <f>G5-G6</f>
        <v>0</v>
      </c>
      <c r="H7" s="30">
        <f>H5-H6</f>
        <v>0</v>
      </c>
      <c r="I7" s="30">
        <f>H7-G7</f>
        <v>0</v>
      </c>
    </row>
    <row r="8" spans="1:9" s="2" customFormat="1" x14ac:dyDescent="0.35">
      <c r="A8" s="4" t="s">
        <v>121</v>
      </c>
      <c r="B8" s="9"/>
      <c r="C8" s="9"/>
      <c r="D8" s="10">
        <f t="shared" si="0"/>
        <v>0</v>
      </c>
      <c r="E8" s="11"/>
      <c r="F8" s="11"/>
      <c r="G8" s="11"/>
      <c r="H8" s="11"/>
      <c r="I8" s="11"/>
    </row>
    <row r="9" spans="1:9" x14ac:dyDescent="0.35">
      <c r="A9" s="4" t="s">
        <v>50</v>
      </c>
      <c r="B9" s="9"/>
      <c r="C9" s="9"/>
      <c r="D9" s="10">
        <f t="shared" si="0"/>
        <v>0</v>
      </c>
      <c r="E9" s="8"/>
      <c r="F9" s="11"/>
      <c r="G9" s="11"/>
      <c r="H9" s="11"/>
      <c r="I9" s="11"/>
    </row>
    <row r="10" spans="1:9" x14ac:dyDescent="0.35">
      <c r="A10" s="4" t="s">
        <v>47</v>
      </c>
      <c r="B10" s="9"/>
      <c r="C10" s="9"/>
      <c r="D10" s="10">
        <f t="shared" si="0"/>
        <v>0</v>
      </c>
      <c r="E10" s="8"/>
      <c r="F10" s="21" t="s">
        <v>26</v>
      </c>
      <c r="G10" s="22" t="s">
        <v>49</v>
      </c>
      <c r="H10" s="23" t="s">
        <v>0</v>
      </c>
      <c r="I10" s="23" t="s">
        <v>46</v>
      </c>
    </row>
    <row r="11" spans="1:9" x14ac:dyDescent="0.35">
      <c r="A11" s="4" t="s">
        <v>10</v>
      </c>
      <c r="B11" s="9"/>
      <c r="C11" s="9"/>
      <c r="D11" s="10">
        <f t="shared" si="0"/>
        <v>0</v>
      </c>
      <c r="E11" s="8"/>
      <c r="F11" s="4" t="s">
        <v>5</v>
      </c>
      <c r="G11" s="14">
        <v>0</v>
      </c>
      <c r="H11" s="14">
        <v>0</v>
      </c>
      <c r="I11" s="10">
        <f t="shared" ref="I11:I19" si="1">G11-H11</f>
        <v>0</v>
      </c>
    </row>
    <row r="12" spans="1:9" x14ac:dyDescent="0.35">
      <c r="A12" s="4" t="s">
        <v>77</v>
      </c>
      <c r="B12" s="12"/>
      <c r="C12" s="12"/>
      <c r="D12" s="10">
        <f>C12-B12</f>
        <v>0</v>
      </c>
      <c r="E12" s="8"/>
      <c r="F12" s="4" t="s">
        <v>69</v>
      </c>
      <c r="G12" s="14">
        <v>0</v>
      </c>
      <c r="H12" s="14">
        <v>0</v>
      </c>
      <c r="I12" s="10">
        <f t="shared" si="1"/>
        <v>0</v>
      </c>
    </row>
    <row r="13" spans="1:9" x14ac:dyDescent="0.35">
      <c r="A13" s="37" t="str">
        <f>"Total " &amp; Table2233[[#Headers],[INCOME]]</f>
        <v>Total INCOME</v>
      </c>
      <c r="B13" s="38">
        <f>SUBTOTAL(109,Table2233[Budget])</f>
        <v>0</v>
      </c>
      <c r="C13" s="38">
        <f>SUBTOTAL(109,Table2233[Actual])</f>
        <v>0</v>
      </c>
      <c r="D13" s="39">
        <f>SUBTOTAL(109,Table2233[Difference])</f>
        <v>0</v>
      </c>
      <c r="E13" s="8"/>
      <c r="F13" s="4" t="s">
        <v>92</v>
      </c>
      <c r="G13" s="14">
        <v>0</v>
      </c>
      <c r="H13" s="14">
        <v>0</v>
      </c>
      <c r="I13" s="10">
        <f t="shared" si="1"/>
        <v>0</v>
      </c>
    </row>
    <row r="14" spans="1:9" x14ac:dyDescent="0.35">
      <c r="A14" s="8"/>
      <c r="B14" s="8"/>
      <c r="C14" s="8"/>
      <c r="D14" s="8"/>
      <c r="E14" s="8"/>
      <c r="F14" s="4" t="s">
        <v>57</v>
      </c>
      <c r="G14" s="14"/>
      <c r="H14" s="14"/>
      <c r="I14" s="10">
        <f t="shared" si="1"/>
        <v>0</v>
      </c>
    </row>
    <row r="15" spans="1:9" x14ac:dyDescent="0.35">
      <c r="A15" s="21" t="s">
        <v>9</v>
      </c>
      <c r="B15" s="22" t="s">
        <v>49</v>
      </c>
      <c r="C15" s="23" t="s">
        <v>0</v>
      </c>
      <c r="D15" s="23" t="s">
        <v>46</v>
      </c>
      <c r="E15" s="8"/>
      <c r="F15" s="4" t="s">
        <v>58</v>
      </c>
      <c r="G15" s="14"/>
      <c r="H15" s="14"/>
      <c r="I15" s="10">
        <f t="shared" si="1"/>
        <v>0</v>
      </c>
    </row>
    <row r="16" spans="1:9" x14ac:dyDescent="0.35">
      <c r="A16" s="4" t="s">
        <v>63</v>
      </c>
      <c r="B16" s="9">
        <v>0</v>
      </c>
      <c r="C16" s="9">
        <v>0</v>
      </c>
      <c r="D16" s="10">
        <f>B16-C16</f>
        <v>0</v>
      </c>
      <c r="E16" s="8"/>
      <c r="F16" s="4" t="s">
        <v>40</v>
      </c>
      <c r="G16" s="14">
        <v>0</v>
      </c>
      <c r="H16" s="14">
        <v>0</v>
      </c>
      <c r="I16" s="10">
        <f t="shared" si="1"/>
        <v>0</v>
      </c>
    </row>
    <row r="17" spans="1:9" x14ac:dyDescent="0.35">
      <c r="A17" s="4" t="s">
        <v>66</v>
      </c>
      <c r="B17" s="9"/>
      <c r="C17" s="9"/>
      <c r="D17" s="10">
        <f t="shared" ref="D17:D28" si="2">B17-C17</f>
        <v>0</v>
      </c>
      <c r="E17" s="8"/>
      <c r="F17" s="4" t="s">
        <v>71</v>
      </c>
      <c r="G17" s="14">
        <v>0</v>
      </c>
      <c r="H17" s="14">
        <v>0</v>
      </c>
      <c r="I17" s="10">
        <f t="shared" si="1"/>
        <v>0</v>
      </c>
    </row>
    <row r="18" spans="1:9" x14ac:dyDescent="0.35">
      <c r="A18" s="4" t="s">
        <v>62</v>
      </c>
      <c r="B18" s="9">
        <v>0</v>
      </c>
      <c r="C18" s="9">
        <v>0</v>
      </c>
      <c r="D18" s="10">
        <f t="shared" si="2"/>
        <v>0</v>
      </c>
      <c r="E18" s="8"/>
      <c r="F18" s="4" t="s">
        <v>74</v>
      </c>
      <c r="G18" s="14">
        <v>0</v>
      </c>
      <c r="H18" s="14">
        <v>0</v>
      </c>
      <c r="I18" s="10">
        <f t="shared" si="1"/>
        <v>0</v>
      </c>
    </row>
    <row r="19" spans="1:9" x14ac:dyDescent="0.35">
      <c r="A19" s="4" t="s">
        <v>61</v>
      </c>
      <c r="B19" s="9">
        <v>0</v>
      </c>
      <c r="C19" s="9">
        <v>0</v>
      </c>
      <c r="D19" s="10">
        <f t="shared" si="2"/>
        <v>0</v>
      </c>
      <c r="E19" s="8"/>
      <c r="F19" s="4" t="s">
        <v>70</v>
      </c>
      <c r="G19" s="14">
        <v>0</v>
      </c>
      <c r="H19" s="14">
        <v>0</v>
      </c>
      <c r="I19" s="10">
        <f t="shared" si="1"/>
        <v>0</v>
      </c>
    </row>
    <row r="20" spans="1:9" s="5" customFormat="1" x14ac:dyDescent="0.35">
      <c r="A20" s="4" t="s">
        <v>64</v>
      </c>
      <c r="B20" s="9">
        <v>0</v>
      </c>
      <c r="C20" s="9">
        <v>0</v>
      </c>
      <c r="D20" s="10">
        <f t="shared" si="2"/>
        <v>0</v>
      </c>
      <c r="E20" s="8"/>
      <c r="F20" s="37" t="str">
        <f>"Total " &amp; Table6235[[#Headers],[DAILY LIVING]]</f>
        <v>Total DAILY LIVING</v>
      </c>
      <c r="G20" s="38">
        <f>SUBTOTAL(109,Table6235[Budget])</f>
        <v>0</v>
      </c>
      <c r="H20" s="38">
        <f>SUBTOTAL(109,Table6235[Actual])</f>
        <v>0</v>
      </c>
      <c r="I20" s="39">
        <f>SUBTOTAL(109,Table6235[Difference])</f>
        <v>0</v>
      </c>
    </row>
    <row r="21" spans="1:9" x14ac:dyDescent="0.35">
      <c r="A21" s="4" t="s">
        <v>118</v>
      </c>
      <c r="B21" s="9">
        <v>0</v>
      </c>
      <c r="C21" s="9">
        <v>0</v>
      </c>
      <c r="D21" s="10">
        <f t="shared" si="2"/>
        <v>0</v>
      </c>
      <c r="E21" s="8"/>
      <c r="F21" s="8"/>
      <c r="G21" s="17"/>
      <c r="H21" s="17"/>
      <c r="I21" s="17"/>
    </row>
    <row r="22" spans="1:9" x14ac:dyDescent="0.35">
      <c r="A22" s="4" t="s">
        <v>39</v>
      </c>
      <c r="B22" s="9">
        <v>0</v>
      </c>
      <c r="C22" s="9">
        <v>0</v>
      </c>
      <c r="D22" s="10">
        <f t="shared" si="2"/>
        <v>0</v>
      </c>
      <c r="E22" s="8"/>
      <c r="F22" s="21" t="s">
        <v>78</v>
      </c>
      <c r="G22" s="22" t="s">
        <v>49</v>
      </c>
      <c r="H22" s="23" t="s">
        <v>0</v>
      </c>
      <c r="I22" s="23" t="s">
        <v>46</v>
      </c>
    </row>
    <row r="23" spans="1:9" x14ac:dyDescent="0.35">
      <c r="A23" s="4" t="s">
        <v>65</v>
      </c>
      <c r="B23" s="9">
        <v>0</v>
      </c>
      <c r="C23" s="9">
        <v>0</v>
      </c>
      <c r="D23" s="10">
        <f t="shared" si="2"/>
        <v>0</v>
      </c>
      <c r="E23" s="8"/>
      <c r="F23" s="4" t="s">
        <v>93</v>
      </c>
      <c r="G23" s="14"/>
      <c r="H23" s="14"/>
      <c r="I23" s="10">
        <f t="shared" ref="I23:I36" si="3">G23-H23</f>
        <v>0</v>
      </c>
    </row>
    <row r="24" spans="1:9" x14ac:dyDescent="0.35">
      <c r="A24" s="4" t="s">
        <v>38</v>
      </c>
      <c r="B24" s="9"/>
      <c r="C24" s="9"/>
      <c r="D24" s="10">
        <f t="shared" si="2"/>
        <v>0</v>
      </c>
      <c r="E24" s="8"/>
      <c r="F24" s="4" t="s">
        <v>136</v>
      </c>
      <c r="G24" s="14"/>
      <c r="H24" s="14"/>
      <c r="I24" s="10">
        <f t="shared" si="3"/>
        <v>0</v>
      </c>
    </row>
    <row r="25" spans="1:9" x14ac:dyDescent="0.35">
      <c r="A25" s="4" t="s">
        <v>37</v>
      </c>
      <c r="B25" s="9">
        <v>0</v>
      </c>
      <c r="C25" s="9">
        <v>0</v>
      </c>
      <c r="D25" s="10">
        <f>B25-C25</f>
        <v>0</v>
      </c>
      <c r="E25" s="8"/>
      <c r="F25" s="4"/>
      <c r="G25" s="14"/>
      <c r="H25" s="14"/>
      <c r="I25" s="10">
        <f t="shared" si="3"/>
        <v>0</v>
      </c>
    </row>
    <row r="26" spans="1:9" x14ac:dyDescent="0.35">
      <c r="A26" s="4" t="s">
        <v>73</v>
      </c>
      <c r="B26" s="9">
        <v>0</v>
      </c>
      <c r="C26" s="9">
        <v>0</v>
      </c>
      <c r="D26" s="10">
        <f t="shared" si="2"/>
        <v>0</v>
      </c>
      <c r="E26" s="8"/>
      <c r="F26" s="4" t="s">
        <v>21</v>
      </c>
      <c r="G26" s="14"/>
      <c r="H26" s="14"/>
      <c r="I26" s="10">
        <f t="shared" si="3"/>
        <v>0</v>
      </c>
    </row>
    <row r="27" spans="1:9" x14ac:dyDescent="0.35">
      <c r="A27" s="36" t="s">
        <v>75</v>
      </c>
      <c r="B27" s="9">
        <v>0</v>
      </c>
      <c r="C27" s="9">
        <v>0</v>
      </c>
      <c r="D27" s="10">
        <f t="shared" si="2"/>
        <v>0</v>
      </c>
      <c r="E27" s="8"/>
      <c r="F27" s="4" t="s">
        <v>41</v>
      </c>
      <c r="G27" s="14"/>
      <c r="H27" s="14"/>
      <c r="I27" s="10">
        <f t="shared" si="3"/>
        <v>0</v>
      </c>
    </row>
    <row r="28" spans="1:9" x14ac:dyDescent="0.35">
      <c r="A28" s="4" t="s">
        <v>10</v>
      </c>
      <c r="B28" s="14"/>
      <c r="C28" s="14"/>
      <c r="D28" s="10">
        <f t="shared" si="2"/>
        <v>0</v>
      </c>
      <c r="E28" s="8"/>
      <c r="F28" s="4" t="s">
        <v>42</v>
      </c>
      <c r="G28" s="14"/>
      <c r="H28" s="14"/>
      <c r="I28" s="10">
        <f t="shared" si="3"/>
        <v>0</v>
      </c>
    </row>
    <row r="29" spans="1:9" x14ac:dyDescent="0.35">
      <c r="A29" s="24" t="str">
        <f>"Total " &amp; Table5234[[#Headers],[HOME EXPENSES]]</f>
        <v>Total HOME EXPENSES</v>
      </c>
      <c r="B29" s="19">
        <f>SUBTOTAL(109,Table5234[Budget])</f>
        <v>0</v>
      </c>
      <c r="C29" s="19">
        <f>SUBTOTAL(109,Table5234[Actual])</f>
        <v>0</v>
      </c>
      <c r="D29" s="13">
        <f>SUBTOTAL(109,Table5234[Difference])</f>
        <v>0</v>
      </c>
      <c r="E29" s="8"/>
      <c r="F29" s="4"/>
      <c r="G29" s="14"/>
      <c r="H29" s="14"/>
      <c r="I29" s="10">
        <f t="shared" si="3"/>
        <v>0</v>
      </c>
    </row>
    <row r="30" spans="1:9" x14ac:dyDescent="0.35">
      <c r="A30" s="8"/>
      <c r="B30" s="17"/>
      <c r="C30" s="17"/>
      <c r="D30" s="17"/>
      <c r="E30" s="8"/>
      <c r="F30" s="4" t="s">
        <v>23</v>
      </c>
      <c r="G30" s="14"/>
      <c r="H30" s="14"/>
      <c r="I30" s="10">
        <f t="shared" si="3"/>
        <v>0</v>
      </c>
    </row>
    <row r="31" spans="1:9" x14ac:dyDescent="0.35">
      <c r="A31" s="21" t="s">
        <v>11</v>
      </c>
      <c r="B31" s="22" t="s">
        <v>49</v>
      </c>
      <c r="C31" s="23" t="s">
        <v>0</v>
      </c>
      <c r="D31" s="23" t="s">
        <v>46</v>
      </c>
      <c r="E31" s="8"/>
      <c r="F31" s="4" t="s">
        <v>43</v>
      </c>
      <c r="G31" s="14"/>
      <c r="H31" s="14"/>
      <c r="I31" s="10">
        <f t="shared" si="3"/>
        <v>0</v>
      </c>
    </row>
    <row r="32" spans="1:9" x14ac:dyDescent="0.35">
      <c r="A32" s="4" t="s">
        <v>12</v>
      </c>
      <c r="B32" s="14">
        <v>0</v>
      </c>
      <c r="C32" s="14"/>
      <c r="D32" s="10">
        <f>B32-C32</f>
        <v>0</v>
      </c>
      <c r="E32" s="8"/>
      <c r="F32" s="4" t="s">
        <v>24</v>
      </c>
      <c r="G32" s="14"/>
      <c r="H32" s="14"/>
      <c r="I32" s="10">
        <f t="shared" si="3"/>
        <v>0</v>
      </c>
    </row>
    <row r="33" spans="1:9" x14ac:dyDescent="0.35">
      <c r="A33" s="4" t="s">
        <v>52</v>
      </c>
      <c r="B33" s="14">
        <v>0</v>
      </c>
      <c r="C33" s="14"/>
      <c r="D33" s="10">
        <f t="shared" ref="D33:D38" si="4">B33-C33</f>
        <v>0</v>
      </c>
      <c r="E33" s="8"/>
      <c r="F33" s="4" t="s">
        <v>22</v>
      </c>
      <c r="G33" s="14"/>
      <c r="H33" s="14"/>
      <c r="I33" s="10">
        <f t="shared" si="3"/>
        <v>0</v>
      </c>
    </row>
    <row r="34" spans="1:9" x14ac:dyDescent="0.35">
      <c r="A34" s="4" t="s">
        <v>13</v>
      </c>
      <c r="B34" s="14">
        <v>0</v>
      </c>
      <c r="C34" s="14"/>
      <c r="D34" s="10">
        <f>B34-C34</f>
        <v>0</v>
      </c>
      <c r="E34" s="8"/>
      <c r="F34" s="4" t="s">
        <v>44</v>
      </c>
      <c r="G34" s="14"/>
      <c r="H34" s="14"/>
      <c r="I34" s="10">
        <f t="shared" si="3"/>
        <v>0</v>
      </c>
    </row>
    <row r="35" spans="1:9" x14ac:dyDescent="0.35">
      <c r="A35" s="4" t="s">
        <v>35</v>
      </c>
      <c r="B35" s="14"/>
      <c r="C35" s="14"/>
      <c r="D35" s="10">
        <f t="shared" si="4"/>
        <v>0</v>
      </c>
      <c r="E35" s="8"/>
      <c r="F35" s="4" t="s">
        <v>59</v>
      </c>
      <c r="G35" s="14"/>
      <c r="H35" s="14"/>
      <c r="I35" s="10">
        <f t="shared" si="3"/>
        <v>0</v>
      </c>
    </row>
    <row r="36" spans="1:9" x14ac:dyDescent="0.35">
      <c r="A36" s="4" t="s">
        <v>14</v>
      </c>
      <c r="B36" s="14"/>
      <c r="C36" s="14"/>
      <c r="D36" s="10">
        <f t="shared" si="4"/>
        <v>0</v>
      </c>
      <c r="E36" s="8"/>
      <c r="F36" s="4" t="s">
        <v>76</v>
      </c>
      <c r="G36" s="14"/>
      <c r="H36" s="14"/>
      <c r="I36" s="10">
        <f t="shared" si="3"/>
        <v>0</v>
      </c>
    </row>
    <row r="37" spans="1:9" x14ac:dyDescent="0.35">
      <c r="A37" s="4" t="s">
        <v>36</v>
      </c>
      <c r="B37" s="14"/>
      <c r="C37" s="14"/>
      <c r="D37" s="10">
        <f t="shared" si="4"/>
        <v>0</v>
      </c>
      <c r="E37" s="8"/>
      <c r="F37" s="37" t="str">
        <f>"Total " &amp; Table7236[[#Headers],[Entertainment]]</f>
        <v>Total Entertainment</v>
      </c>
      <c r="G37" s="38">
        <f>SUBTOTAL(109,Table7236[Budget])</f>
        <v>0</v>
      </c>
      <c r="H37" s="38">
        <f>SUBTOTAL(109,Table7236[Actual])</f>
        <v>0</v>
      </c>
      <c r="I37" s="39">
        <f>SUBTOTAL(109,Table7236[Difference])</f>
        <v>0</v>
      </c>
    </row>
    <row r="38" spans="1:9" x14ac:dyDescent="0.35">
      <c r="A38" s="4" t="s">
        <v>10</v>
      </c>
      <c r="B38" s="14"/>
      <c r="C38" s="14"/>
      <c r="D38" s="10">
        <f t="shared" si="4"/>
        <v>0</v>
      </c>
      <c r="E38" s="8"/>
      <c r="F38" s="8"/>
      <c r="G38" s="17"/>
      <c r="H38" s="17"/>
      <c r="I38" s="17"/>
    </row>
    <row r="39" spans="1:9" x14ac:dyDescent="0.35">
      <c r="A39" s="24" t="str">
        <f>"Total " &amp; Table20242[[#Headers],[TRANSPORTATION]]</f>
        <v>Total TRANSPORTATION</v>
      </c>
      <c r="B39" s="19">
        <f>SUBTOTAL(109,Table20242[Budget])</f>
        <v>0</v>
      </c>
      <c r="C39" s="19">
        <f>SUBTOTAL(109,Table20242[Actual])</f>
        <v>0</v>
      </c>
      <c r="D39" s="13">
        <f>SUBTOTAL(109,Table20242[Difference])</f>
        <v>0</v>
      </c>
      <c r="E39" s="8"/>
      <c r="F39" s="21" t="s">
        <v>32</v>
      </c>
      <c r="G39" s="22" t="s">
        <v>49</v>
      </c>
      <c r="H39" s="23" t="s">
        <v>0</v>
      </c>
      <c r="I39" s="23" t="s">
        <v>46</v>
      </c>
    </row>
    <row r="40" spans="1:9" x14ac:dyDescent="0.35">
      <c r="A40" s="8"/>
      <c r="B40" s="17"/>
      <c r="C40" s="17"/>
      <c r="D40" s="17"/>
      <c r="E40" s="8"/>
      <c r="F40" s="4" t="s">
        <v>29</v>
      </c>
      <c r="G40" s="14"/>
      <c r="H40" s="14"/>
      <c r="I40" s="10">
        <f>G40-H40</f>
        <v>0</v>
      </c>
    </row>
    <row r="41" spans="1:9" x14ac:dyDescent="0.35">
      <c r="A41" s="21" t="s">
        <v>15</v>
      </c>
      <c r="B41" s="22" t="s">
        <v>49</v>
      </c>
      <c r="C41" s="23" t="s">
        <v>0</v>
      </c>
      <c r="D41" s="23" t="s">
        <v>46</v>
      </c>
      <c r="E41" s="8"/>
      <c r="F41" s="4" t="s">
        <v>30</v>
      </c>
      <c r="G41" s="14"/>
      <c r="H41" s="14"/>
      <c r="I41" s="10">
        <f t="shared" ref="I41:I42" si="5">G41-H41</f>
        <v>0</v>
      </c>
    </row>
    <row r="42" spans="1:9" x14ac:dyDescent="0.35">
      <c r="A42" s="4" t="s">
        <v>53</v>
      </c>
      <c r="B42" s="14"/>
      <c r="C42" s="14"/>
      <c r="D42" s="10">
        <f t="shared" ref="D42:D48" si="6">B42-C42</f>
        <v>0</v>
      </c>
      <c r="E42" s="8"/>
      <c r="F42" s="4" t="s">
        <v>33</v>
      </c>
      <c r="G42" s="14"/>
      <c r="H42" s="14"/>
      <c r="I42" s="10">
        <f t="shared" si="5"/>
        <v>0</v>
      </c>
    </row>
    <row r="43" spans="1:9" x14ac:dyDescent="0.35">
      <c r="A43" s="4" t="s">
        <v>16</v>
      </c>
      <c r="B43" s="14"/>
      <c r="C43" s="14"/>
      <c r="D43" s="10">
        <f t="shared" si="6"/>
        <v>0</v>
      </c>
      <c r="E43" s="8"/>
      <c r="F43" s="4" t="s">
        <v>31</v>
      </c>
      <c r="G43" s="14"/>
      <c r="H43" s="14"/>
      <c r="I43" s="10">
        <f>G43-H43</f>
        <v>0</v>
      </c>
    </row>
    <row r="44" spans="1:9" x14ac:dyDescent="0.35">
      <c r="A44" s="4" t="s">
        <v>17</v>
      </c>
      <c r="B44" s="14"/>
      <c r="C44" s="14"/>
      <c r="D44" s="10">
        <f t="shared" si="6"/>
        <v>0</v>
      </c>
      <c r="E44" s="8"/>
      <c r="F44" s="4" t="s">
        <v>60</v>
      </c>
      <c r="G44" s="14"/>
      <c r="H44" s="14"/>
      <c r="I44" s="10">
        <f>G44-H44</f>
        <v>0</v>
      </c>
    </row>
    <row r="45" spans="1:9" x14ac:dyDescent="0.35">
      <c r="A45" s="4" t="s">
        <v>18</v>
      </c>
      <c r="B45" s="14">
        <v>0</v>
      </c>
      <c r="C45" s="14"/>
      <c r="D45" s="10">
        <f t="shared" si="6"/>
        <v>0</v>
      </c>
      <c r="E45" s="8"/>
      <c r="F45" s="4" t="s">
        <v>10</v>
      </c>
      <c r="G45" s="14"/>
      <c r="H45" s="14"/>
      <c r="I45" s="10">
        <f>G45-H45</f>
        <v>0</v>
      </c>
    </row>
    <row r="46" spans="1:9" x14ac:dyDescent="0.35">
      <c r="A46" s="4" t="s">
        <v>54</v>
      </c>
      <c r="B46" s="14"/>
      <c r="C46" s="14"/>
      <c r="D46" s="10">
        <f t="shared" si="6"/>
        <v>0</v>
      </c>
      <c r="E46" s="8"/>
      <c r="F46" s="24" t="str">
        <f>"Total " &amp; Table8237[[#Headers],[SAVINGS]]</f>
        <v>Total SAVINGS</v>
      </c>
      <c r="G46" s="19">
        <f>SUBTOTAL(109,Table8237[Budget])</f>
        <v>0</v>
      </c>
      <c r="H46" s="19">
        <f>SUBTOTAL(109,Table8237[Actual])</f>
        <v>0</v>
      </c>
      <c r="I46" s="13">
        <f>SUBTOTAL(109,Table8237[Difference])</f>
        <v>0</v>
      </c>
    </row>
    <row r="47" spans="1:9" x14ac:dyDescent="0.35">
      <c r="A47" s="4" t="s">
        <v>55</v>
      </c>
      <c r="B47" s="14"/>
      <c r="C47" s="14"/>
      <c r="D47" s="10">
        <f t="shared" si="6"/>
        <v>0</v>
      </c>
      <c r="E47" s="8"/>
      <c r="F47" s="8"/>
      <c r="G47" s="17"/>
      <c r="H47" s="17"/>
      <c r="I47" s="17"/>
    </row>
    <row r="48" spans="1:9" x14ac:dyDescent="0.35">
      <c r="A48" s="4" t="s">
        <v>10</v>
      </c>
      <c r="B48" s="14"/>
      <c r="C48" s="14"/>
      <c r="D48" s="10">
        <f t="shared" si="6"/>
        <v>0</v>
      </c>
      <c r="E48" s="8"/>
      <c r="F48" s="21" t="s">
        <v>34</v>
      </c>
      <c r="G48" s="22" t="s">
        <v>49</v>
      </c>
      <c r="H48" s="23" t="s">
        <v>0</v>
      </c>
      <c r="I48" s="23" t="s">
        <v>46</v>
      </c>
    </row>
    <row r="49" spans="1:9" x14ac:dyDescent="0.35">
      <c r="A49" s="24" t="str">
        <f>"Total " &amp; Table21243[[#Headers],[HEALTH]]</f>
        <v>Total HEALTH</v>
      </c>
      <c r="B49" s="19">
        <f>SUBTOTAL(109,Table21243[Budget])</f>
        <v>0</v>
      </c>
      <c r="C49" s="19">
        <f>SUBTOTAL(109,Table21243[Actual])</f>
        <v>0</v>
      </c>
      <c r="D49" s="13">
        <f>SUBTOTAL(109,Table21243[Difference])</f>
        <v>0</v>
      </c>
      <c r="E49" s="8"/>
      <c r="F49" s="4" t="s">
        <v>114</v>
      </c>
      <c r="G49" s="14">
        <v>0</v>
      </c>
      <c r="H49" s="14"/>
      <c r="I49" s="10">
        <f t="shared" ref="I49:I55" si="7">G49-H49</f>
        <v>0</v>
      </c>
    </row>
    <row r="50" spans="1:9" x14ac:dyDescent="0.35">
      <c r="A50" s="8"/>
      <c r="B50" s="17"/>
      <c r="C50" s="17"/>
      <c r="D50" s="17"/>
      <c r="E50" s="8"/>
      <c r="F50" s="4" t="s">
        <v>114</v>
      </c>
      <c r="G50" s="14">
        <v>0</v>
      </c>
      <c r="H50" s="14"/>
      <c r="I50" s="10">
        <f t="shared" si="7"/>
        <v>0</v>
      </c>
    </row>
    <row r="51" spans="1:9" x14ac:dyDescent="0.35">
      <c r="A51" s="21" t="s">
        <v>45</v>
      </c>
      <c r="B51" s="22" t="s">
        <v>49</v>
      </c>
      <c r="C51" s="23" t="s">
        <v>0</v>
      </c>
      <c r="D51" s="23" t="s">
        <v>46</v>
      </c>
      <c r="E51" s="8"/>
      <c r="F51" s="4" t="s">
        <v>114</v>
      </c>
      <c r="G51" s="14">
        <v>0</v>
      </c>
      <c r="H51" s="14"/>
      <c r="I51" s="10">
        <f t="shared" si="7"/>
        <v>0</v>
      </c>
    </row>
    <row r="52" spans="1:9" x14ac:dyDescent="0.35">
      <c r="A52" s="4" t="s">
        <v>6</v>
      </c>
      <c r="B52" s="14"/>
      <c r="C52" s="14"/>
      <c r="D52" s="10">
        <f t="shared" ref="D52:D55" si="8">B52-C52</f>
        <v>0</v>
      </c>
      <c r="E52" s="8"/>
      <c r="F52" s="4" t="s">
        <v>115</v>
      </c>
      <c r="G52" s="14">
        <v>0</v>
      </c>
      <c r="H52" s="14"/>
      <c r="I52" s="10">
        <f t="shared" si="7"/>
        <v>0</v>
      </c>
    </row>
    <row r="53" spans="1:9" x14ac:dyDescent="0.35">
      <c r="A53" s="4" t="s">
        <v>27</v>
      </c>
      <c r="B53" s="14"/>
      <c r="C53" s="14"/>
      <c r="D53" s="10">
        <f t="shared" si="8"/>
        <v>0</v>
      </c>
      <c r="E53" s="8"/>
      <c r="F53" s="4" t="s">
        <v>115</v>
      </c>
      <c r="G53" s="14">
        <v>0</v>
      </c>
      <c r="H53" s="14"/>
      <c r="I53" s="10">
        <f t="shared" si="7"/>
        <v>0</v>
      </c>
    </row>
    <row r="54" spans="1:9" x14ac:dyDescent="0.35">
      <c r="A54" s="4" t="s">
        <v>28</v>
      </c>
      <c r="B54" s="14"/>
      <c r="C54" s="14"/>
      <c r="D54" s="10">
        <f t="shared" si="8"/>
        <v>0</v>
      </c>
      <c r="E54" s="8"/>
      <c r="F54" s="4" t="s">
        <v>116</v>
      </c>
      <c r="G54" s="14"/>
      <c r="H54" s="14"/>
      <c r="I54" s="10">
        <f t="shared" si="7"/>
        <v>0</v>
      </c>
    </row>
    <row r="55" spans="1:9" x14ac:dyDescent="0.35">
      <c r="A55" s="4" t="s">
        <v>10</v>
      </c>
      <c r="B55" s="14"/>
      <c r="C55" s="14"/>
      <c r="D55" s="10">
        <f t="shared" si="8"/>
        <v>0</v>
      </c>
      <c r="E55" s="8"/>
      <c r="F55" s="4" t="s">
        <v>131</v>
      </c>
      <c r="G55" s="14"/>
      <c r="H55" s="14"/>
      <c r="I55" s="10">
        <f t="shared" si="7"/>
        <v>0</v>
      </c>
    </row>
    <row r="56" spans="1:9" x14ac:dyDescent="0.35">
      <c r="A56" s="24" t="str">
        <f>"Total " &amp; Table19241[[#Headers],[CHARITY/GIFTS]]</f>
        <v>Total CHARITY/GIFTS</v>
      </c>
      <c r="B56" s="19">
        <f>SUBTOTAL(109,Table19241[Budget])</f>
        <v>0</v>
      </c>
      <c r="C56" s="19">
        <f>SUBTOTAL(109,Table19241[Actual])</f>
        <v>0</v>
      </c>
      <c r="D56" s="13">
        <f>SUBTOTAL(109,Table19241[Difference])</f>
        <v>0</v>
      </c>
      <c r="E56" s="8"/>
      <c r="F56" s="37" t="str">
        <f>"Total " &amp; Table10238[[#Headers],[OBLIGATIONS]]</f>
        <v>Total OBLIGATIONS</v>
      </c>
      <c r="G56" s="38">
        <f>SUBTOTAL(109,Table10238[Budget])</f>
        <v>0</v>
      </c>
      <c r="H56" s="38">
        <f>SUBTOTAL(109,Table10238[Actual])</f>
        <v>0</v>
      </c>
      <c r="I56" s="39">
        <f>SUBTOTAL(109,Table10238[Difference])</f>
        <v>0</v>
      </c>
    </row>
    <row r="57" spans="1:9" x14ac:dyDescent="0.35">
      <c r="A57" s="8"/>
      <c r="B57" s="17"/>
      <c r="C57" s="17"/>
      <c r="D57" s="17"/>
      <c r="E57" s="8"/>
      <c r="F57" s="8"/>
      <c r="G57" s="17"/>
      <c r="H57" s="17"/>
      <c r="I57" s="17"/>
    </row>
    <row r="58" spans="1:9" x14ac:dyDescent="0.35">
      <c r="A58" s="21" t="s">
        <v>25</v>
      </c>
      <c r="B58" s="22" t="s">
        <v>49</v>
      </c>
      <c r="C58" s="23" t="s">
        <v>0</v>
      </c>
      <c r="D58" s="23" t="s">
        <v>46</v>
      </c>
      <c r="E58" s="8"/>
      <c r="F58" s="21" t="s">
        <v>8</v>
      </c>
      <c r="G58" s="22" t="s">
        <v>49</v>
      </c>
      <c r="H58" s="23" t="s">
        <v>0</v>
      </c>
      <c r="I58" s="23" t="s">
        <v>46</v>
      </c>
    </row>
    <row r="59" spans="1:9" x14ac:dyDescent="0.35">
      <c r="A59" s="4" t="s">
        <v>19</v>
      </c>
      <c r="B59" s="14"/>
      <c r="C59" s="14"/>
      <c r="D59" s="10">
        <f t="shared" ref="D59:D62" si="9">B59-C59</f>
        <v>0</v>
      </c>
      <c r="E59" s="8"/>
      <c r="F59" s="4" t="s">
        <v>68</v>
      </c>
      <c r="G59" s="9"/>
      <c r="H59" s="9"/>
      <c r="I59" s="10">
        <f t="shared" ref="I59:I62" si="10">G59-H59</f>
        <v>0</v>
      </c>
    </row>
    <row r="60" spans="1:9" x14ac:dyDescent="0.35">
      <c r="A60" s="4" t="s">
        <v>20</v>
      </c>
      <c r="B60" s="14"/>
      <c r="C60" s="14"/>
      <c r="D60" s="10">
        <f t="shared" si="9"/>
        <v>0</v>
      </c>
      <c r="E60" s="8"/>
      <c r="F60" s="4" t="s">
        <v>72</v>
      </c>
      <c r="G60" s="9"/>
      <c r="H60" s="9"/>
      <c r="I60" s="10">
        <f t="shared" si="10"/>
        <v>0</v>
      </c>
    </row>
    <row r="61" spans="1:9" x14ac:dyDescent="0.35">
      <c r="A61" s="4" t="s">
        <v>56</v>
      </c>
      <c r="B61" s="14"/>
      <c r="C61" s="14"/>
      <c r="D61" s="10">
        <f t="shared" si="9"/>
        <v>0</v>
      </c>
      <c r="E61" s="8"/>
      <c r="F61" s="4" t="s">
        <v>67</v>
      </c>
      <c r="G61" s="9"/>
      <c r="H61" s="9"/>
      <c r="I61" s="10">
        <f t="shared" si="10"/>
        <v>0</v>
      </c>
    </row>
    <row r="62" spans="1:9" x14ac:dyDescent="0.35">
      <c r="A62" s="4" t="s">
        <v>10</v>
      </c>
      <c r="B62" s="14"/>
      <c r="C62" s="14"/>
      <c r="D62" s="10">
        <f t="shared" si="9"/>
        <v>0</v>
      </c>
      <c r="E62" s="8"/>
      <c r="F62" s="4" t="s">
        <v>10</v>
      </c>
      <c r="G62" s="14"/>
      <c r="H62" s="14"/>
      <c r="I62" s="10">
        <f t="shared" si="10"/>
        <v>0</v>
      </c>
    </row>
    <row r="63" spans="1:9" x14ac:dyDescent="0.35">
      <c r="A63" s="24" t="str">
        <f>"Total " &amp; Table15240[[#Headers],[SUBSCRIPTIONS]]</f>
        <v>Total SUBSCRIPTIONS</v>
      </c>
      <c r="B63" s="19">
        <f>SUBTOTAL(109,Table15240[Budget])</f>
        <v>0</v>
      </c>
      <c r="C63" s="19">
        <f>SUBTOTAL(109,Table15240[Actual])</f>
        <v>0</v>
      </c>
      <c r="D63" s="13">
        <f>SUBTOTAL(109,Table15240[Difference])</f>
        <v>0</v>
      </c>
      <c r="E63" s="8"/>
      <c r="F63" s="24" t="str">
        <f>"Total " &amp; Table14239[[#Headers],[MISCELLANEOUS]]</f>
        <v>Total MISCELLANEOUS</v>
      </c>
      <c r="G63" s="19">
        <f>SUBTOTAL(109,Table14239[Budget])</f>
        <v>0</v>
      </c>
      <c r="H63" s="19">
        <f>SUBTOTAL(109,Table14239[Actual])</f>
        <v>0</v>
      </c>
      <c r="I63" s="13">
        <f>SUBTOTAL(109,Table14239[Difference])</f>
        <v>0</v>
      </c>
    </row>
    <row r="64" spans="1:9" x14ac:dyDescent="0.35">
      <c r="E64" s="8"/>
      <c r="F64" s="7"/>
    </row>
    <row r="65" spans="5:6" x14ac:dyDescent="0.35">
      <c r="E65" s="8"/>
      <c r="F65" s="7"/>
    </row>
    <row r="66" spans="5:6" x14ac:dyDescent="0.35">
      <c r="E66" s="8"/>
      <c r="F66" s="7"/>
    </row>
    <row r="67" spans="5:6" x14ac:dyDescent="0.35">
      <c r="E67" s="8"/>
      <c r="F67" s="7"/>
    </row>
    <row r="68" spans="5:6" x14ac:dyDescent="0.35">
      <c r="E68" s="8"/>
      <c r="F68" s="7"/>
    </row>
    <row r="69" spans="5:6" x14ac:dyDescent="0.35">
      <c r="E69" s="8"/>
      <c r="F69" s="7"/>
    </row>
    <row r="70" spans="5:6" x14ac:dyDescent="0.35">
      <c r="E70" s="8"/>
    </row>
    <row r="71" spans="5:6" x14ac:dyDescent="0.35">
      <c r="E71" s="8"/>
    </row>
    <row r="72" spans="5:6" x14ac:dyDescent="0.35">
      <c r="E72" s="8"/>
      <c r="F72" s="7"/>
    </row>
    <row r="73" spans="5:6" x14ac:dyDescent="0.35">
      <c r="E73" s="8"/>
      <c r="F73" s="7"/>
    </row>
    <row r="74" spans="5:6" x14ac:dyDescent="0.35">
      <c r="E74" s="15"/>
      <c r="F74" s="7"/>
    </row>
    <row r="75" spans="5:6" x14ac:dyDescent="0.35">
      <c r="E75" s="16"/>
      <c r="F75" s="7"/>
    </row>
    <row r="76" spans="5:6" x14ac:dyDescent="0.35">
      <c r="E76" s="16"/>
      <c r="F76" s="7"/>
    </row>
    <row r="77" spans="5:6" x14ac:dyDescent="0.35">
      <c r="E77" s="16"/>
      <c r="F77" s="7"/>
    </row>
    <row r="78" spans="5:6" x14ac:dyDescent="0.35">
      <c r="E78" s="16"/>
      <c r="F78" s="7"/>
    </row>
    <row r="79" spans="5:6" x14ac:dyDescent="0.35">
      <c r="E79" s="8"/>
      <c r="F79" s="7"/>
    </row>
    <row r="80" spans="5:6" x14ac:dyDescent="0.35">
      <c r="E80" s="15"/>
      <c r="F80" s="7"/>
    </row>
    <row r="81" spans="5:6" x14ac:dyDescent="0.35">
      <c r="E81" s="16"/>
      <c r="F81" s="7"/>
    </row>
    <row r="82" spans="5:6" x14ac:dyDescent="0.35">
      <c r="E82" s="16"/>
    </row>
    <row r="83" spans="5:6" x14ac:dyDescent="0.35">
      <c r="E83" s="16"/>
    </row>
    <row r="84" spans="5:6" x14ac:dyDescent="0.35">
      <c r="E84" s="20" t="s">
        <v>48</v>
      </c>
    </row>
    <row r="85" spans="5:6" x14ac:dyDescent="0.35">
      <c r="E85" s="16"/>
    </row>
    <row r="86" spans="5:6" x14ac:dyDescent="0.35">
      <c r="E86" s="16"/>
    </row>
    <row r="87" spans="5:6" x14ac:dyDescent="0.35">
      <c r="E87" s="16"/>
    </row>
    <row r="88" spans="5:6" x14ac:dyDescent="0.35">
      <c r="E88" s="16"/>
    </row>
    <row r="89" spans="5:6" x14ac:dyDescent="0.35">
      <c r="E89" s="16"/>
    </row>
    <row r="90" spans="5:6" x14ac:dyDescent="0.35">
      <c r="E90" s="8"/>
    </row>
    <row r="91" spans="5:6" x14ac:dyDescent="0.35">
      <c r="E91" s="15"/>
    </row>
    <row r="92" spans="5:6" x14ac:dyDescent="0.35">
      <c r="E92" s="7"/>
    </row>
    <row r="93" spans="5:6" x14ac:dyDescent="0.35">
      <c r="E93" s="7"/>
    </row>
    <row r="94" spans="5:6" x14ac:dyDescent="0.35">
      <c r="E94" s="7"/>
    </row>
    <row r="95" spans="5:6" x14ac:dyDescent="0.35">
      <c r="E95" s="7"/>
    </row>
    <row r="96" spans="5:6" x14ac:dyDescent="0.35">
      <c r="E96" s="7"/>
    </row>
    <row r="97" spans="5:5" x14ac:dyDescent="0.35">
      <c r="E97" s="7"/>
    </row>
    <row r="98" spans="5:5" x14ac:dyDescent="0.35">
      <c r="E98" s="7"/>
    </row>
    <row r="99" spans="5:5" x14ac:dyDescent="0.35">
      <c r="E99" s="7"/>
    </row>
    <row r="100" spans="5:5" x14ac:dyDescent="0.35">
      <c r="E100" s="7"/>
    </row>
    <row r="101" spans="5:5" x14ac:dyDescent="0.35">
      <c r="E101" s="7"/>
    </row>
    <row r="122" spans="6:6" x14ac:dyDescent="0.35">
      <c r="F122" s="7"/>
    </row>
    <row r="123" spans="6:6" x14ac:dyDescent="0.35">
      <c r="F123" s="7"/>
    </row>
    <row r="124" spans="6:6" x14ac:dyDescent="0.35">
      <c r="F124" s="7"/>
    </row>
    <row r="125" spans="6:6" x14ac:dyDescent="0.35">
      <c r="F125" s="7"/>
    </row>
    <row r="126" spans="6:6" x14ac:dyDescent="0.35">
      <c r="F126" s="7"/>
    </row>
    <row r="127" spans="6:6" x14ac:dyDescent="0.35">
      <c r="F127" s="7"/>
    </row>
    <row r="128" spans="6:6" x14ac:dyDescent="0.35">
      <c r="F128" s="7"/>
    </row>
    <row r="131" spans="5:6" x14ac:dyDescent="0.35">
      <c r="F131" s="7"/>
    </row>
    <row r="132" spans="5:6" x14ac:dyDescent="0.35">
      <c r="F132" s="7"/>
    </row>
    <row r="133" spans="5:6" x14ac:dyDescent="0.35">
      <c r="F133" s="7"/>
    </row>
    <row r="134" spans="5:6" x14ac:dyDescent="0.35">
      <c r="F134" s="7"/>
    </row>
    <row r="135" spans="5:6" x14ac:dyDescent="0.35">
      <c r="F135" s="7"/>
    </row>
    <row r="136" spans="5:6" x14ac:dyDescent="0.35">
      <c r="F136" s="7"/>
    </row>
    <row r="137" spans="5:6" x14ac:dyDescent="0.35">
      <c r="F137" s="7"/>
    </row>
    <row r="141" spans="5:6" x14ac:dyDescent="0.35">
      <c r="E141" s="6"/>
    </row>
    <row r="142" spans="5:6" x14ac:dyDescent="0.35">
      <c r="E142" s="7"/>
    </row>
    <row r="143" spans="5:6" x14ac:dyDescent="0.35">
      <c r="E143" s="7"/>
    </row>
    <row r="144" spans="5:6" x14ac:dyDescent="0.35">
      <c r="E144" s="7"/>
    </row>
    <row r="145" spans="5:5" x14ac:dyDescent="0.35">
      <c r="E145" s="7"/>
    </row>
    <row r="146" spans="5:5" x14ac:dyDescent="0.35">
      <c r="E146" s="7"/>
    </row>
    <row r="147" spans="5:5" x14ac:dyDescent="0.35">
      <c r="E147" s="7"/>
    </row>
    <row r="148" spans="5:5" x14ac:dyDescent="0.35">
      <c r="E148" s="7"/>
    </row>
    <row r="150" spans="5:5" x14ac:dyDescent="0.35">
      <c r="E150" s="6"/>
    </row>
    <row r="151" spans="5:5" x14ac:dyDescent="0.35">
      <c r="E151" s="7"/>
    </row>
    <row r="152" spans="5:5" x14ac:dyDescent="0.35">
      <c r="E152" s="7"/>
    </row>
    <row r="153" spans="5:5" x14ac:dyDescent="0.35">
      <c r="E153" s="7"/>
    </row>
    <row r="154" spans="5:5" x14ac:dyDescent="0.35">
      <c r="E154" s="7"/>
    </row>
    <row r="155" spans="5:5" x14ac:dyDescent="0.35">
      <c r="E155" s="7"/>
    </row>
    <row r="156" spans="5:5" x14ac:dyDescent="0.35">
      <c r="E156" s="7"/>
    </row>
    <row r="157" spans="5:5" x14ac:dyDescent="0.35">
      <c r="E157" s="7"/>
    </row>
  </sheetData>
  <mergeCells count="1">
    <mergeCell ref="H2:I2"/>
  </mergeCells>
  <conditionalFormatting sqref="D32:D38 D52:D55 D59:D62 D16:D28 I49:I55 D5:D13 D42:D48 I11:I19 I23:I36 I40:I45 I59:I62">
    <cfRule type="cellIs" dxfId="550" priority="2" stopIfTrue="1" operator="lessThan">
      <formula>0</formula>
    </cfRule>
  </conditionalFormatting>
  <conditionalFormatting sqref="I5">
    <cfRule type="expression" dxfId="549" priority="1">
      <formula>IF(,,H5&gt;G5)</formula>
    </cfRule>
  </conditionalFormatting>
  <pageMargins left="0.7" right="0.7" top="0.75" bottom="0.75" header="0.3" footer="0.3"/>
  <tableParts count="11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7"/>
  <sheetViews>
    <sheetView showGridLines="0" topLeftCell="A38" workbookViewId="0">
      <selection activeCell="C68" sqref="C68"/>
    </sheetView>
  </sheetViews>
  <sheetFormatPr defaultColWidth="9" defaultRowHeight="14.4" x14ac:dyDescent="0.35"/>
  <cols>
    <col min="1" max="1" width="25.3984375" style="1" customWidth="1"/>
    <col min="2" max="2" width="9.765625E-2" style="1" customWidth="1"/>
    <col min="3" max="3" width="9.59765625" style="1" customWidth="1"/>
    <col min="4" max="4" width="0.19921875" style="1" customWidth="1"/>
    <col min="5" max="5" width="2.59765625" style="1" customWidth="1"/>
    <col min="6" max="6" width="21.5" style="1" customWidth="1"/>
    <col min="7" max="7" width="9.59765625" style="1" hidden="1" customWidth="1"/>
    <col min="8" max="8" width="9.5" style="1" customWidth="1"/>
    <col min="9" max="9" width="11.09765625" style="1" hidden="1" customWidth="1"/>
    <col min="10" max="16384" width="9" style="1"/>
  </cols>
  <sheetData>
    <row r="1" spans="1:9" ht="26.1" customHeight="1" x14ac:dyDescent="0.35">
      <c r="A1" s="34" t="s">
        <v>100</v>
      </c>
      <c r="B1" s="34"/>
      <c r="C1" s="34"/>
      <c r="D1" s="34"/>
      <c r="E1" s="34"/>
      <c r="F1" s="34"/>
      <c r="G1" s="34"/>
      <c r="H1" s="34"/>
      <c r="I1" s="34"/>
    </row>
    <row r="2" spans="1:9" s="2" customFormat="1" ht="13.8" x14ac:dyDescent="0.3">
      <c r="A2" s="35"/>
      <c r="B2" s="33"/>
      <c r="C2" s="33"/>
      <c r="D2" s="33"/>
      <c r="E2" s="31"/>
      <c r="F2" s="31"/>
      <c r="G2" s="32"/>
      <c r="H2" s="47"/>
      <c r="I2" s="47"/>
    </row>
    <row r="3" spans="1:9" s="2" customFormat="1" ht="12" x14ac:dyDescent="0.3">
      <c r="E3" s="3"/>
    </row>
    <row r="4" spans="1:9" x14ac:dyDescent="0.35">
      <c r="A4" s="21" t="s">
        <v>1</v>
      </c>
      <c r="B4" s="22" t="s">
        <v>99</v>
      </c>
      <c r="C4" s="23" t="s">
        <v>98</v>
      </c>
      <c r="D4" s="23" t="s">
        <v>46</v>
      </c>
      <c r="E4" s="18" t="s">
        <v>48</v>
      </c>
      <c r="F4" s="26" t="s">
        <v>51</v>
      </c>
      <c r="G4" s="27" t="s">
        <v>49</v>
      </c>
      <c r="H4" s="27" t="s">
        <v>98</v>
      </c>
      <c r="I4" s="27" t="s">
        <v>46</v>
      </c>
    </row>
    <row r="5" spans="1:9" x14ac:dyDescent="0.35">
      <c r="A5" s="4" t="s">
        <v>7</v>
      </c>
      <c r="B5" s="9"/>
      <c r="C5" s="40">
        <v>0</v>
      </c>
      <c r="D5" s="10">
        <f t="shared" ref="D5:D11" si="0">C5-B5</f>
        <v>0</v>
      </c>
      <c r="E5" s="8"/>
      <c r="F5" s="28" t="s">
        <v>2</v>
      </c>
      <c r="G5" s="25">
        <f>Table2244[[#Totals],[Budget]]</f>
        <v>0</v>
      </c>
      <c r="H5" s="25">
        <f>Table22442[[#Totals],[Average]]</f>
        <v>0</v>
      </c>
      <c r="I5" s="25">
        <f>G5-H5</f>
        <v>0</v>
      </c>
    </row>
    <row r="6" spans="1:9" ht="15" thickBot="1" x14ac:dyDescent="0.4">
      <c r="A6" s="4" t="s">
        <v>119</v>
      </c>
      <c r="B6" s="9"/>
      <c r="C6" s="40">
        <f>IFERROR(AVERAGE(Table2[[#This Row],[Actual]],Table2135[[#This Row],[Actual]],Table2146[[#This Row],[Actual]],Table2157[[#This Row],[Actual]],Table2255[[#This Row],[Actual]],Table257[[#This Row],[Actual]],Table2179[[#This Row],[Actual]],Table2190[[#This Row],[Actual]],Table2200[[#This Row],[Actual]],Table2211[[#This Row],[Actual]],Table2222[[#This Row],[Actual]],Table2233[[#This Row],[Actual]]),"0")</f>
        <v>0</v>
      </c>
      <c r="D6" s="10">
        <f t="shared" si="0"/>
        <v>0</v>
      </c>
      <c r="E6" s="8"/>
      <c r="F6" s="28" t="s">
        <v>3</v>
      </c>
      <c r="G6" s="25">
        <f>SUM(,Table5245[[#Totals],[Budget]],Table20253[[#Totals],[Budget]],Table21254[[#Totals],[Budget]],Table19252[[#Totals],[Budget]],Table15251[[#Totals],[Budget]],Table14250[[#Totals],[Budget]],Table10249[[#Totals],[Budget]],Table8248[[#Totals],[Budget]],Table7247[[#Totals],[Budget]],Table6246[[#Totals],[Budget]])</f>
        <v>0</v>
      </c>
      <c r="H6" s="25">
        <f>SUM(Table62465[[#Totals],[Average]]+Table52454[[#Totals],[Average]]+Table724710[[#Totals],[Average]]+Table2025319[[#Totals],[Average]]+Table824812[[#Totals],[Average]]+Table2125423[[#Totals],[Average]]+Table1024913[[#Totals],[Average]]+Table1925218[[#Totals],[Average]]+Table1425014[[#Totals],[Average]]+Table1525117[[#Totals],[Average]])</f>
        <v>0</v>
      </c>
      <c r="I6" s="25">
        <f>G6-H6</f>
        <v>0</v>
      </c>
    </row>
    <row r="7" spans="1:9" ht="15" thickTop="1" x14ac:dyDescent="0.35">
      <c r="A7" s="4" t="s">
        <v>94</v>
      </c>
      <c r="B7" s="9"/>
      <c r="C7" s="40">
        <f>IFERROR(AVERAGE(Table2[[#This Row],[Actual]],Table2135[[#This Row],[Actual]],Table2146[[#This Row],[Actual]],Table2157[[#This Row],[Actual]],Table2255[[#This Row],[Actual]],Table257[[#This Row],[Actual]],Table2179[[#This Row],[Actual]],Table2190[[#This Row],[Actual]],Table2200[[#This Row],[Actual]],Table2211[[#This Row],[Actual]],Table2222[[#This Row],[Actual]],Table2233[[#This Row],[Actual]]),"0")</f>
        <v>0</v>
      </c>
      <c r="D7" s="10">
        <f t="shared" si="0"/>
        <v>0</v>
      </c>
      <c r="E7" s="8"/>
      <c r="F7" s="29" t="s">
        <v>4</v>
      </c>
      <c r="G7" s="30">
        <f>G5-G6</f>
        <v>0</v>
      </c>
      <c r="H7" s="30">
        <f>H5-H6</f>
        <v>0</v>
      </c>
      <c r="I7" s="30">
        <f>H7-G7</f>
        <v>0</v>
      </c>
    </row>
    <row r="8" spans="1:9" s="2" customFormat="1" x14ac:dyDescent="0.35">
      <c r="A8" s="4" t="s">
        <v>121</v>
      </c>
      <c r="B8" s="9"/>
      <c r="C8" s="40">
        <f>IFERROR(AVERAGE(Table2[[#This Row],[Actual]],Table2135[[#This Row],[Actual]],Table2146[[#This Row],[Actual]],Table2157[[#This Row],[Actual]],Table2255[[#This Row],[Actual]],Table257[[#This Row],[Actual]],Table2179[[#This Row],[Actual]],Table2190[[#This Row],[Actual]],Table2200[[#This Row],[Actual]],Table2211[[#This Row],[Actual]],Table2222[[#This Row],[Actual]],Table2233[[#This Row],[Actual]]),"0")</f>
        <v>0</v>
      </c>
      <c r="D8" s="10">
        <f t="shared" si="0"/>
        <v>0</v>
      </c>
      <c r="E8" s="11"/>
      <c r="F8" s="11"/>
      <c r="G8" s="11"/>
      <c r="H8" s="11"/>
      <c r="I8" s="11"/>
    </row>
    <row r="9" spans="1:9" x14ac:dyDescent="0.35">
      <c r="A9" s="4" t="s">
        <v>50</v>
      </c>
      <c r="B9" s="9"/>
      <c r="C9" s="40">
        <v>0</v>
      </c>
      <c r="D9" s="10">
        <f t="shared" si="0"/>
        <v>0</v>
      </c>
      <c r="E9" s="8"/>
      <c r="F9" s="11"/>
      <c r="G9" s="11"/>
      <c r="H9" s="11"/>
      <c r="I9" s="11"/>
    </row>
    <row r="10" spans="1:9" x14ac:dyDescent="0.35">
      <c r="A10" s="4" t="s">
        <v>47</v>
      </c>
      <c r="B10" s="9"/>
      <c r="C10" s="40">
        <v>0</v>
      </c>
      <c r="D10" s="10">
        <f t="shared" si="0"/>
        <v>0</v>
      </c>
      <c r="E10" s="8"/>
      <c r="F10" s="21" t="s">
        <v>26</v>
      </c>
      <c r="G10" s="22" t="s">
        <v>49</v>
      </c>
      <c r="H10" s="23" t="s">
        <v>98</v>
      </c>
      <c r="I10" s="23" t="s">
        <v>46</v>
      </c>
    </row>
    <row r="11" spans="1:9" x14ac:dyDescent="0.35">
      <c r="A11" s="4" t="s">
        <v>10</v>
      </c>
      <c r="B11" s="9"/>
      <c r="C11" s="40">
        <v>0</v>
      </c>
      <c r="D11" s="10">
        <f t="shared" si="0"/>
        <v>0</v>
      </c>
      <c r="E11" s="8"/>
      <c r="F11" s="4" t="s">
        <v>5</v>
      </c>
      <c r="G11" s="14">
        <f>SUM(Table6[[#This Row],[Budget]]+Table6136[[#This Row],[Budget]]+Table6147[[#This Row],[Budget]]+Table6158[[#This Row],[Budget]]+Table6257[[#This Row],[Budget]]+Table659[[#This Row],[Budget]]+Table6180[[#This Row],[Budget]]+Table6191[[#This Row],[Budget]]+Table6202[[#This Row],[Budget]]+Table6213[[#This Row],[Budget]]+Table6224[[#This Row],[Budget]]+Table6235[[#This Row],[Budget]])</f>
        <v>0</v>
      </c>
      <c r="H11" s="41">
        <v>0</v>
      </c>
      <c r="I11" s="10">
        <f t="shared" ref="I11:I19" si="1">G11-H11</f>
        <v>0</v>
      </c>
    </row>
    <row r="12" spans="1:9" x14ac:dyDescent="0.35">
      <c r="A12" s="4" t="s">
        <v>77</v>
      </c>
      <c r="B12" s="9"/>
      <c r="C12" s="42">
        <f>IFERROR(AVERAGE(Table2[[#This Row],[Actual]],Table2135[[#This Row],[Actual]],Table2146[[#This Row],[Actual]],Table2157[[#This Row],[Actual]],Table2255[[#This Row],[Actual]],Table257[[#This Row],[Actual]],Table2179[[#This Row],[Actual]],Table2190[[#This Row],[Actual]],Table2200[[#This Row],[Actual]],Table2211[[#This Row],[Actual]],Table2222[[#This Row],[Actual]],Table2233[[#This Row],[Actual]]),"0")</f>
        <v>0</v>
      </c>
      <c r="D12" s="10">
        <f>C12-B12</f>
        <v>0</v>
      </c>
      <c r="E12" s="8"/>
      <c r="F12" s="4" t="s">
        <v>69</v>
      </c>
      <c r="G12" s="14">
        <f>SUM(Table6[[#This Row],[Budget]]+Table6136[[#This Row],[Budget]]+Table6147[[#This Row],[Budget]]+Table6158[[#This Row],[Budget]]+Table6257[[#This Row],[Budget]]+Table659[[#This Row],[Budget]]+Table6180[[#This Row],[Budget]]+Table6191[[#This Row],[Budget]]+Table6202[[#This Row],[Budget]]+Table6213[[#This Row],[Budget]]+Table6224[[#This Row],[Budget]]+Table6235[[#This Row],[Budget]])</f>
        <v>0</v>
      </c>
      <c r="H12" s="41">
        <f>IFERROR(AVERAGE(Table6[[#This Row],[Actual]],Table6136[[#This Row],[Actual]],Table6147[[#This Row],[Actual]],Table6158[[#This Row],[Actual]],Table6257[[#This Row],[Actual]],Table659[[#This Row],[Actual]],Table6180[[#This Row],[Actual]],Table6191[[#This Row],[Actual]],Table6202[[#This Row],[Actual]],Table6213[[#This Row],[Actual]],Table6224[[#This Row],[Actual]],Table6235[[#This Row],[Actual]]),"0")</f>
        <v>0</v>
      </c>
      <c r="I12" s="10">
        <f t="shared" si="1"/>
        <v>0</v>
      </c>
    </row>
    <row r="13" spans="1:9" x14ac:dyDescent="0.35">
      <c r="A13" s="37" t="str">
        <f>"Total " &amp; Table22442[[#Headers],[INCOME]]</f>
        <v>Total INCOME</v>
      </c>
      <c r="B13" s="38"/>
      <c r="C13" s="38">
        <f>SUBTOTAL(109,Table22442[Average])</f>
        <v>0</v>
      </c>
      <c r="D13" s="39">
        <f>SUBTOTAL(109,Table22442[Difference])</f>
        <v>0</v>
      </c>
      <c r="E13" s="8"/>
      <c r="F13" s="4" t="s">
        <v>92</v>
      </c>
      <c r="G13" s="14">
        <f>SUM(Table6[[#This Row],[Budget]]+Table6136[[#This Row],[Budget]]+Table6147[[#This Row],[Budget]]+Table6158[[#This Row],[Budget]]+Table6257[[#This Row],[Budget]]+Table659[[#This Row],[Budget]]+Table6180[[#This Row],[Budget]]+Table6191[[#This Row],[Budget]]+Table6202[[#This Row],[Budget]]+Table6213[[#This Row],[Budget]]+Table6224[[#This Row],[Budget]]+Table6235[[#This Row],[Budget]])</f>
        <v>0</v>
      </c>
      <c r="H13" s="41">
        <f>IFERROR(AVERAGE(Table6[[#This Row],[Actual]],Table6136[[#This Row],[Actual]],Table6147[[#This Row],[Actual]],Table6158[[#This Row],[Actual]],Table6257[[#This Row],[Actual]],Table659[[#This Row],[Actual]],Table6180[[#This Row],[Actual]],Table6191[[#This Row],[Actual]],Table6202[[#This Row],[Actual]],Table6213[[#This Row],[Actual]],Table6224[[#This Row],[Actual]],Table6235[[#This Row],[Actual]]),"0")</f>
        <v>0</v>
      </c>
      <c r="I13" s="10">
        <f t="shared" si="1"/>
        <v>0</v>
      </c>
    </row>
    <row r="14" spans="1:9" x14ac:dyDescent="0.35">
      <c r="A14" s="8"/>
      <c r="B14" s="8"/>
      <c r="C14" s="8"/>
      <c r="D14" s="8"/>
      <c r="E14" s="8"/>
      <c r="F14" s="4" t="s">
        <v>57</v>
      </c>
      <c r="G14" s="14">
        <f>SUM(Table6[[#This Row],[Budget]]+Table6136[[#This Row],[Budget]]+Table6147[[#This Row],[Budget]]+Table6158[[#This Row],[Budget]]+Table6257[[#This Row],[Budget]]+Table659[[#This Row],[Budget]]+Table6180[[#This Row],[Budget]]+Table6191[[#This Row],[Budget]]+Table6202[[#This Row],[Budget]]+Table6213[[#This Row],[Budget]]+Table6224[[#This Row],[Budget]]+Table6235[[#This Row],[Budget]])</f>
        <v>0</v>
      </c>
      <c r="H14" s="41">
        <f>IFERROR(AVERAGE(Table6[[#This Row],[Actual]],Table6136[[#This Row],[Actual]],Table6147[[#This Row],[Actual]],Table6158[[#This Row],[Actual]],Table6257[[#This Row],[Actual]],Table659[[#This Row],[Actual]],Table6180[[#This Row],[Actual]],Table6191[[#This Row],[Actual]],Table6202[[#This Row],[Actual]],Table6213[[#This Row],[Actual]],Table6224[[#This Row],[Actual]],Table6235[[#This Row],[Actual]]),"0")</f>
        <v>0</v>
      </c>
      <c r="I14" s="10">
        <f t="shared" si="1"/>
        <v>0</v>
      </c>
    </row>
    <row r="15" spans="1:9" x14ac:dyDescent="0.35">
      <c r="A15" s="21" t="s">
        <v>9</v>
      </c>
      <c r="B15" s="22" t="s">
        <v>99</v>
      </c>
      <c r="C15" s="23" t="s">
        <v>98</v>
      </c>
      <c r="D15" s="23" t="s">
        <v>46</v>
      </c>
      <c r="E15" s="8"/>
      <c r="F15" s="4" t="s">
        <v>58</v>
      </c>
      <c r="G15" s="14">
        <f>SUM(Table6[[#This Row],[Budget]]+Table6136[[#This Row],[Budget]]+Table6147[[#This Row],[Budget]]+Table6158[[#This Row],[Budget]]+Table6257[[#This Row],[Budget]]+Table659[[#This Row],[Budget]]+Table6180[[#This Row],[Budget]]+Table6191[[#This Row],[Budget]]+Table6202[[#This Row],[Budget]]+Table6213[[#This Row],[Budget]]+Table6224[[#This Row],[Budget]]+Table6235[[#This Row],[Budget]])</f>
        <v>0</v>
      </c>
      <c r="H15" s="41">
        <f>IFERROR(AVERAGE(Table6[[#This Row],[Actual]],Table6136[[#This Row],[Actual]],Table6147[[#This Row],[Actual]],Table6158[[#This Row],[Actual]],Table6257[[#This Row],[Actual]],Table659[[#This Row],[Actual]],Table6180[[#This Row],[Actual]],Table6191[[#This Row],[Actual]],Table6202[[#This Row],[Actual]],Table6213[[#This Row],[Actual]],Table6224[[#This Row],[Actual]],Table6235[[#This Row],[Actual]]),"0")</f>
        <v>0</v>
      </c>
      <c r="I15" s="10">
        <f t="shared" si="1"/>
        <v>0</v>
      </c>
    </row>
    <row r="16" spans="1:9" x14ac:dyDescent="0.35">
      <c r="A16" s="4" t="s">
        <v>63</v>
      </c>
      <c r="B16" s="9"/>
      <c r="C16" s="40">
        <f>IFERROR(AVERAGE(Table5[[#This Row],[Actual]],Table5135[[#This Row],[Actual]],Table5146[[#This Row],[Actual]],Table5157[[#This Row],[Actual]],Table5256[[#This Row],[Actual]],Table558[[#This Row],[Actual]],Table5179[[#This Row],[Actual]],Table5190[[#This Row],[Actual]],Table5201[[#This Row],[Actual]],Table5212[[#This Row],[Actual]],Table5223[[#This Row],[Actual]],Table5234[[#This Row],[Actual]]),"0")</f>
        <v>0</v>
      </c>
      <c r="D16" s="10">
        <f>B16-C16</f>
        <v>0</v>
      </c>
      <c r="E16" s="8"/>
      <c r="F16" s="4" t="s">
        <v>40</v>
      </c>
      <c r="G16" s="14">
        <f>SUM(Table6[[#This Row],[Budget]]+Table6136[[#This Row],[Budget]]+Table6147[[#This Row],[Budget]]+Table6158[[#This Row],[Budget]]+Table6257[[#This Row],[Budget]]+Table659[[#This Row],[Budget]]+Table6180[[#This Row],[Budget]]+Table6191[[#This Row],[Budget]]+Table6202[[#This Row],[Budget]]+Table6213[[#This Row],[Budget]]+Table6224[[#This Row],[Budget]]+Table6235[[#This Row],[Budget]])</f>
        <v>0</v>
      </c>
      <c r="H16" s="41">
        <v>0</v>
      </c>
      <c r="I16" s="10">
        <f t="shared" si="1"/>
        <v>0</v>
      </c>
    </row>
    <row r="17" spans="1:9" x14ac:dyDescent="0.35">
      <c r="A17" s="4" t="s">
        <v>66</v>
      </c>
      <c r="B17" s="9"/>
      <c r="C17" s="40">
        <f>IFERROR(AVERAGE(Table5[[#This Row],[Actual]],Table5135[[#This Row],[Actual]],Table5146[[#This Row],[Actual]],Table5157[[#This Row],[Actual]],Table5256[[#This Row],[Actual]],Table558[[#This Row],[Actual]],Table5179[[#This Row],[Actual]],Table5190[[#This Row],[Actual]],Table5201[[#This Row],[Actual]],Table5212[[#This Row],[Actual]],Table5223[[#This Row],[Actual]],Table5234[[#This Row],[Actual]]),"0")</f>
        <v>0</v>
      </c>
      <c r="D17" s="10">
        <f t="shared" ref="D17:D28" si="2">B17-C17</f>
        <v>0</v>
      </c>
      <c r="E17" s="8"/>
      <c r="F17" s="4" t="s">
        <v>71</v>
      </c>
      <c r="G17" s="14">
        <f>SUM(Table6[[#This Row],[Budget]]+Table6136[[#This Row],[Budget]]+Table6147[[#This Row],[Budget]]+Table6158[[#This Row],[Budget]]+Table6257[[#This Row],[Budget]]+Table659[[#This Row],[Budget]]+Table6180[[#This Row],[Budget]]+Table6191[[#This Row],[Budget]]+Table6202[[#This Row],[Budget]]+Table6213[[#This Row],[Budget]]+Table6224[[#This Row],[Budget]]+Table6235[[#This Row],[Budget]])</f>
        <v>0</v>
      </c>
      <c r="H17" s="41">
        <f>IFERROR(AVERAGE(Table6[[#This Row],[Actual]],Table6136[[#This Row],[Actual]],Table6147[[#This Row],[Actual]],Table6158[[#This Row],[Actual]],Table6257[[#This Row],[Actual]],Table659[[#This Row],[Actual]],Table6180[[#This Row],[Actual]],Table6191[[#This Row],[Actual]],Table6202[[#This Row],[Actual]],Table6213[[#This Row],[Actual]],Table6224[[#This Row],[Actual]],Table6235[[#This Row],[Actual]]),"0")</f>
        <v>0</v>
      </c>
      <c r="I17" s="10">
        <f t="shared" si="1"/>
        <v>0</v>
      </c>
    </row>
    <row r="18" spans="1:9" x14ac:dyDescent="0.35">
      <c r="A18" s="4" t="s">
        <v>62</v>
      </c>
      <c r="B18" s="9"/>
      <c r="C18" s="40">
        <f>IFERROR(AVERAGE(Table5[[#This Row],[Actual]],Table5135[[#This Row],[Actual]],Table5146[[#This Row],[Actual]],Table5157[[#This Row],[Actual]],Table5256[[#This Row],[Actual]],Table558[[#This Row],[Actual]],Table5179[[#This Row],[Actual]],Table5190[[#This Row],[Actual]],Table5201[[#This Row],[Actual]],Table5212[[#This Row],[Actual]],Table5223[[#This Row],[Actual]],Table5234[[#This Row],[Actual]]),"0")</f>
        <v>0</v>
      </c>
      <c r="D18" s="10">
        <f t="shared" si="2"/>
        <v>0</v>
      </c>
      <c r="E18" s="8"/>
      <c r="F18" s="4" t="s">
        <v>74</v>
      </c>
      <c r="G18" s="14">
        <f>SUM(Table6[[#This Row],[Budget]]+Table6136[[#This Row],[Budget]]+Table6147[[#This Row],[Budget]]+Table6158[[#This Row],[Budget]]+Table6257[[#This Row],[Budget]]+Table659[[#This Row],[Budget]]+Table6180[[#This Row],[Budget]]+Table6191[[#This Row],[Budget]]+Table6202[[#This Row],[Budget]]+Table6213[[#This Row],[Budget]]+Table6224[[#This Row],[Budget]]+Table6235[[#This Row],[Budget]])</f>
        <v>0</v>
      </c>
      <c r="H18" s="41">
        <f>IFERROR(AVERAGE(Table6[[#This Row],[Actual]],Table6136[[#This Row],[Actual]],Table6147[[#This Row],[Actual]],Table6158[[#This Row],[Actual]],Table6257[[#This Row],[Actual]],Table659[[#This Row],[Actual]],Table6180[[#This Row],[Actual]],Table6191[[#This Row],[Actual]],Table6202[[#This Row],[Actual]],Table6213[[#This Row],[Actual]],Table6224[[#This Row],[Actual]],Table6235[[#This Row],[Actual]]),"0")</f>
        <v>0</v>
      </c>
      <c r="I18" s="10">
        <f t="shared" si="1"/>
        <v>0</v>
      </c>
    </row>
    <row r="19" spans="1:9" x14ac:dyDescent="0.35">
      <c r="A19" s="4" t="s">
        <v>61</v>
      </c>
      <c r="B19" s="9"/>
      <c r="C19" s="40">
        <f>IFERROR(AVERAGE(Table5[[#This Row],[Actual]],Table5135[[#This Row],[Actual]],Table5146[[#This Row],[Actual]],Table5157[[#This Row],[Actual]],Table5256[[#This Row],[Actual]],Table558[[#This Row],[Actual]],Table5179[[#This Row],[Actual]],Table5190[[#This Row],[Actual]],Table5201[[#This Row],[Actual]],Table5212[[#This Row],[Actual]],Table5223[[#This Row],[Actual]],Table5234[[#This Row],[Actual]]),"0")</f>
        <v>0</v>
      </c>
      <c r="D19" s="10">
        <f t="shared" si="2"/>
        <v>0</v>
      </c>
      <c r="E19" s="8"/>
      <c r="F19" s="4" t="s">
        <v>70</v>
      </c>
      <c r="G19" s="14">
        <f>SUM(Table6[[#This Row],[Budget]]+Table6136[[#This Row],[Budget]]+Table6147[[#This Row],[Budget]]+Table6158[[#This Row],[Budget]]+Table6257[[#This Row],[Budget]]+Table659[[#This Row],[Budget]]+Table6180[[#This Row],[Budget]]+Table6191[[#This Row],[Budget]]+Table6202[[#This Row],[Budget]]+Table6213[[#This Row],[Budget]]+Table6224[[#This Row],[Budget]]+Table6235[[#This Row],[Budget]])</f>
        <v>0</v>
      </c>
      <c r="H19" s="41">
        <v>0</v>
      </c>
      <c r="I19" s="10">
        <f t="shared" si="1"/>
        <v>0</v>
      </c>
    </row>
    <row r="20" spans="1:9" s="5" customFormat="1" x14ac:dyDescent="0.35">
      <c r="A20" s="4" t="s">
        <v>64</v>
      </c>
      <c r="B20" s="9"/>
      <c r="C20" s="40">
        <f>IFERROR(AVERAGE(Table5[[#This Row],[Actual]],Table5135[[#This Row],[Actual]],Table5146[[#This Row],[Actual]],Table5157[[#This Row],[Actual]],Table5256[[#This Row],[Actual]],Table558[[#This Row],[Actual]],Table5179[[#This Row],[Actual]],Table5190[[#This Row],[Actual]],Table5201[[#This Row],[Actual]],Table5212[[#This Row],[Actual]],Table5223[[#This Row],[Actual]],Table5234[[#This Row],[Actual]]),"0")</f>
        <v>0</v>
      </c>
      <c r="D20" s="10">
        <f t="shared" si="2"/>
        <v>0</v>
      </c>
      <c r="E20" s="8"/>
      <c r="F20" s="37" t="str">
        <f>"Total " &amp; Table62465[[#Headers],[DAILY LIVING]]</f>
        <v>Total DAILY LIVING</v>
      </c>
      <c r="G20" s="38">
        <f>SUBTOTAL(109,Table62465[Budget])</f>
        <v>0</v>
      </c>
      <c r="H20" s="38">
        <f>SUBTOTAL(109,Table62465[Average])</f>
        <v>0</v>
      </c>
      <c r="I20" s="39">
        <f>SUBTOTAL(109,Table62465[Difference])</f>
        <v>0</v>
      </c>
    </row>
    <row r="21" spans="1:9" x14ac:dyDescent="0.35">
      <c r="A21" s="4" t="s">
        <v>118</v>
      </c>
      <c r="B21" s="9"/>
      <c r="C21" s="40">
        <v>0</v>
      </c>
      <c r="D21" s="10">
        <f t="shared" si="2"/>
        <v>0</v>
      </c>
      <c r="E21" s="8"/>
      <c r="F21" s="8"/>
      <c r="G21" s="17"/>
      <c r="H21" s="17"/>
      <c r="I21" s="17"/>
    </row>
    <row r="22" spans="1:9" x14ac:dyDescent="0.35">
      <c r="A22" s="4" t="s">
        <v>39</v>
      </c>
      <c r="B22" s="9"/>
      <c r="C22" s="40">
        <f>IFERROR(AVERAGE(Table5[[#This Row],[Actual]],Table5135[[#This Row],[Actual]],Table5146[[#This Row],[Actual]],Table5157[[#This Row],[Actual]],Table5256[[#This Row],[Actual]],Table558[[#This Row],[Actual]],Table5179[[#This Row],[Actual]],Table5190[[#This Row],[Actual]],Table5201[[#This Row],[Actual]],Table5212[[#This Row],[Actual]],Table5223[[#This Row],[Actual]],Table5234[[#This Row],[Actual]]),"0")</f>
        <v>0</v>
      </c>
      <c r="D22" s="10">
        <f t="shared" si="2"/>
        <v>0</v>
      </c>
      <c r="E22" s="8"/>
      <c r="F22" s="21" t="s">
        <v>78</v>
      </c>
      <c r="G22" s="22" t="s">
        <v>49</v>
      </c>
      <c r="H22" s="23" t="s">
        <v>98</v>
      </c>
      <c r="I22" s="23" t="s">
        <v>46</v>
      </c>
    </row>
    <row r="23" spans="1:9" x14ac:dyDescent="0.35">
      <c r="A23" s="4" t="s">
        <v>65</v>
      </c>
      <c r="B23" s="9"/>
      <c r="C23" s="40">
        <v>0</v>
      </c>
      <c r="D23" s="10">
        <f t="shared" si="2"/>
        <v>0</v>
      </c>
      <c r="E23" s="8"/>
      <c r="F23" s="4" t="s">
        <v>93</v>
      </c>
      <c r="G23" s="14">
        <f>SUM(Table7[[#This Row],[Budget]]+Table7137[[#This Row],[Budget]]+Table7148[[#This Row],[Budget]]+Table7159[[#This Row],[Budget]]+Table7258[[#This Row],[Budget]]+Table760[[#This Row],[Budget]]+Table7181[[#This Row],[Budget]]+Table7192[[#This Row],[Budget]]+Table7203[[#This Row],[Budget]]+Table7214[[#This Row],[Budget]]+Table7225[[#This Row],[Budget]]+Table7236[[#This Row],[Budget]])</f>
        <v>0</v>
      </c>
      <c r="H23" s="41">
        <f>IFERROR(AVERAGE(Table7[[#This Row],[Actual]],Table7137[[#This Row],[Actual]],Table7148[[#This Row],[Actual]],Table7159[[#This Row],[Actual]],Table7258[[#This Row],[Actual]],Table760[[#This Row],[Actual]],Table7181[[#This Row],[Actual]],Table7192[[#This Row],[Actual]],Table7203[[#This Row],[Actual]],Table7214[[#This Row],[Actual]],Table7225[[#This Row],[Actual]],Table7236[[#This Row],[Actual]]),"0")</f>
        <v>0</v>
      </c>
      <c r="I23" s="10">
        <f t="shared" ref="I23:I36" si="3">G23-H23</f>
        <v>0</v>
      </c>
    </row>
    <row r="24" spans="1:9" x14ac:dyDescent="0.35">
      <c r="A24" s="4" t="s">
        <v>38</v>
      </c>
      <c r="B24" s="9"/>
      <c r="C24" s="40">
        <f>IFERROR(AVERAGE(Table5[[#This Row],[Actual]],Table5135[[#This Row],[Actual]],Table5146[[#This Row],[Actual]],Table5157[[#This Row],[Actual]],Table5256[[#This Row],[Actual]],Table558[[#This Row],[Actual]],Table5179[[#This Row],[Actual]],Table5190[[#This Row],[Actual]],Table5201[[#This Row],[Actual]],Table5212[[#This Row],[Actual]],Table5223[[#This Row],[Actual]],Table5234[[#This Row],[Actual]]),"0")</f>
        <v>0</v>
      </c>
      <c r="D24" s="10">
        <f t="shared" si="2"/>
        <v>0</v>
      </c>
      <c r="E24" s="8"/>
      <c r="F24" s="4" t="s">
        <v>135</v>
      </c>
      <c r="G24" s="14">
        <f>SUM(Table7[[#This Row],[Budget]]+Table7137[[#This Row],[Budget]]+Table7148[[#This Row],[Budget]]+Table7159[[#This Row],[Budget]]+Table7258[[#This Row],[Budget]]+Table760[[#This Row],[Budget]]+Table7181[[#This Row],[Budget]]+Table7192[[#This Row],[Budget]]+Table7203[[#This Row],[Budget]]+Table7214[[#This Row],[Budget]]+Table7225[[#This Row],[Budget]]+Table7236[[#This Row],[Budget]])</f>
        <v>0</v>
      </c>
      <c r="H24" s="41">
        <f>IFERROR(AVERAGE(Table7[[#This Row],[Actual]],Table7137[[#This Row],[Actual]],Table7148[[#This Row],[Actual]],Table7159[[#This Row],[Actual]],Table7258[[#This Row],[Actual]],Table760[[#This Row],[Actual]],Table7181[[#This Row],[Actual]],Table7192[[#This Row],[Actual]],Table7203[[#This Row],[Actual]],Table7214[[#This Row],[Actual]],Table7225[[#This Row],[Actual]],Table7236[[#This Row],[Actual]]),"0")</f>
        <v>0</v>
      </c>
      <c r="I24" s="10">
        <f t="shared" si="3"/>
        <v>0</v>
      </c>
    </row>
    <row r="25" spans="1:9" x14ac:dyDescent="0.35">
      <c r="A25" s="4" t="s">
        <v>37</v>
      </c>
      <c r="B25" s="9"/>
      <c r="C25" s="40">
        <f>IFERROR(AVERAGE(Table5[[#This Row],[Actual]],Table5135[[#This Row],[Actual]],Table5146[[#This Row],[Actual]],Table5157[[#This Row],[Actual]],Table5256[[#This Row],[Actual]],Table558[[#This Row],[Actual]],Table5179[[#This Row],[Actual]],Table5190[[#This Row],[Actual]],Table5201[[#This Row],[Actual]],Table5212[[#This Row],[Actual]],Table5223[[#This Row],[Actual]],Table5234[[#This Row],[Actual]]),"0")</f>
        <v>0</v>
      </c>
      <c r="D25" s="10">
        <f>B25-C25</f>
        <v>0</v>
      </c>
      <c r="E25" s="8"/>
      <c r="F25" s="4" t="s">
        <v>138</v>
      </c>
      <c r="G25" s="14">
        <f>SUM(Table7[[#This Row],[Budget]]+Table7137[[#This Row],[Budget]]+Table7148[[#This Row],[Budget]]+Table7159[[#This Row],[Budget]]+Table7258[[#This Row],[Budget]]+Table760[[#This Row],[Budget]]+Table7181[[#This Row],[Budget]]+Table7192[[#This Row],[Budget]]+Table7203[[#This Row],[Budget]]+Table7214[[#This Row],[Budget]]+Table7225[[#This Row],[Budget]]+Table7236[[#This Row],[Budget]])</f>
        <v>0</v>
      </c>
      <c r="H25" s="41">
        <v>0</v>
      </c>
      <c r="I25" s="10">
        <f t="shared" si="3"/>
        <v>0</v>
      </c>
    </row>
    <row r="26" spans="1:9" x14ac:dyDescent="0.35">
      <c r="A26" s="4" t="s">
        <v>73</v>
      </c>
      <c r="B26" s="9"/>
      <c r="C26" s="40">
        <f>IFERROR(AVERAGE(Table5[[#This Row],[Actual]],Table5135[[#This Row],[Actual]],Table5146[[#This Row],[Actual]],Table5157[[#This Row],[Actual]],Table5256[[#This Row],[Actual]],Table558[[#This Row],[Actual]],Table5179[[#This Row],[Actual]],Table5190[[#This Row],[Actual]],Table5201[[#This Row],[Actual]],Table5212[[#This Row],[Actual]],Table5223[[#This Row],[Actual]],Table5234[[#This Row],[Actual]]),"0")</f>
        <v>0</v>
      </c>
      <c r="D26" s="10">
        <f t="shared" si="2"/>
        <v>0</v>
      </c>
      <c r="E26" s="8"/>
      <c r="F26" s="4" t="s">
        <v>21</v>
      </c>
      <c r="G26" s="14">
        <f>SUM(Table7[[#This Row],[Budget]]+Table7137[[#This Row],[Budget]]+Table7148[[#This Row],[Budget]]+Table7159[[#This Row],[Budget]]+Table7258[[#This Row],[Budget]]+Table760[[#This Row],[Budget]]+Table7181[[#This Row],[Budget]]+Table7192[[#This Row],[Budget]]+Table7203[[#This Row],[Budget]]+Table7214[[#This Row],[Budget]]+Table7225[[#This Row],[Budget]]+Table7236[[#This Row],[Budget]])</f>
        <v>0</v>
      </c>
      <c r="H26" s="41">
        <f>IFERROR(AVERAGE(Table7[[#This Row],[Actual]],Table7137[[#This Row],[Actual]],Table7148[[#This Row],[Actual]],Table7159[[#This Row],[Actual]],Table7258[[#This Row],[Actual]],Table760[[#This Row],[Actual]],Table7181[[#This Row],[Actual]],Table7192[[#This Row],[Actual]],Table7203[[#This Row],[Actual]],Table7214[[#This Row],[Actual]],Table7225[[#This Row],[Actual]],Table7236[[#This Row],[Actual]]),"0")</f>
        <v>0</v>
      </c>
      <c r="I26" s="10">
        <f t="shared" si="3"/>
        <v>0</v>
      </c>
    </row>
    <row r="27" spans="1:9" x14ac:dyDescent="0.35">
      <c r="A27" s="36" t="s">
        <v>75</v>
      </c>
      <c r="B27" s="9"/>
      <c r="C27" s="40">
        <f>IFERROR(AVERAGE(Table5[[#This Row],[Actual]],Table5135[[#This Row],[Actual]],Table5146[[#This Row],[Actual]],Table5157[[#This Row],[Actual]],Table5256[[#This Row],[Actual]],Table558[[#This Row],[Actual]],Table5179[[#This Row],[Actual]],Table5190[[#This Row],[Actual]],Table5201[[#This Row],[Actual]],Table5212[[#This Row],[Actual]],Table5223[[#This Row],[Actual]],Table5234[[#This Row],[Actual]]),"0")</f>
        <v>0</v>
      </c>
      <c r="D27" s="10">
        <f t="shared" si="2"/>
        <v>0</v>
      </c>
      <c r="E27" s="8"/>
      <c r="F27" s="4" t="s">
        <v>41</v>
      </c>
      <c r="G27" s="14">
        <f>SUM(Table7[[#This Row],[Budget]]+Table7137[[#This Row],[Budget]]+Table7148[[#This Row],[Budget]]+Table7159[[#This Row],[Budget]]+Table7258[[#This Row],[Budget]]+Table760[[#This Row],[Budget]]+Table7181[[#This Row],[Budget]]+Table7192[[#This Row],[Budget]]+Table7203[[#This Row],[Budget]]+Table7214[[#This Row],[Budget]]+Table7225[[#This Row],[Budget]]+Table7236[[#This Row],[Budget]])</f>
        <v>0</v>
      </c>
      <c r="H27" s="41">
        <f>IFERROR(AVERAGE(Table7[[#This Row],[Actual]],Table7137[[#This Row],[Actual]],Table7148[[#This Row],[Actual]],Table7159[[#This Row],[Actual]],Table7258[[#This Row],[Actual]],Table760[[#This Row],[Actual]],Table7181[[#This Row],[Actual]],Table7192[[#This Row],[Actual]],Table7203[[#This Row],[Actual]],Table7214[[#This Row],[Actual]],Table7225[[#This Row],[Actual]],Table7236[[#This Row],[Actual]]),"0")</f>
        <v>0</v>
      </c>
      <c r="I27" s="10">
        <f t="shared" si="3"/>
        <v>0</v>
      </c>
    </row>
    <row r="28" spans="1:9" x14ac:dyDescent="0.35">
      <c r="A28" s="4" t="s">
        <v>10</v>
      </c>
      <c r="B28" s="9"/>
      <c r="C28" s="41">
        <f>IFERROR(AVERAGE(Table5[[#This Row],[Actual]],Table5135[[#This Row],[Actual]],Table5146[[#This Row],[Actual]],Table5157[[#This Row],[Actual]],Table5256[[#This Row],[Actual]],Table558[[#This Row],[Actual]],Table5179[[#This Row],[Actual]],Table5190[[#This Row],[Actual]],Table5201[[#This Row],[Actual]],Table5212[[#This Row],[Actual]],Table5223[[#This Row],[Actual]],Table5234[[#This Row],[Actual]]),"0")</f>
        <v>0</v>
      </c>
      <c r="D28" s="10">
        <f t="shared" si="2"/>
        <v>0</v>
      </c>
      <c r="E28" s="8"/>
      <c r="F28" s="4" t="s">
        <v>42</v>
      </c>
      <c r="G28" s="14">
        <f>SUM(Table7[[#This Row],[Budget]]+Table7137[[#This Row],[Budget]]+Table7148[[#This Row],[Budget]]+Table7159[[#This Row],[Budget]]+Table7258[[#This Row],[Budget]]+Table760[[#This Row],[Budget]]+Table7181[[#This Row],[Budget]]+Table7192[[#This Row],[Budget]]+Table7203[[#This Row],[Budget]]+Table7214[[#This Row],[Budget]]+Table7225[[#This Row],[Budget]]+Table7236[[#This Row],[Budget]])</f>
        <v>0</v>
      </c>
      <c r="H28" s="41">
        <v>0</v>
      </c>
      <c r="I28" s="10">
        <f t="shared" si="3"/>
        <v>0</v>
      </c>
    </row>
    <row r="29" spans="1:9" x14ac:dyDescent="0.35">
      <c r="A29" s="24" t="str">
        <f>"Total " &amp; Table52454[[#Headers],[HOME EXPENSES]]</f>
        <v>Total HOME EXPENSES</v>
      </c>
      <c r="B29" s="19"/>
      <c r="C29" s="19">
        <f>SUBTOTAL(109,Table52454[Average])</f>
        <v>0</v>
      </c>
      <c r="D29" s="13">
        <f>SUBTOTAL(109,Table52454[Difference])</f>
        <v>0</v>
      </c>
      <c r="E29" s="8"/>
      <c r="F29" s="4"/>
      <c r="G29" s="14">
        <f>SUM(Table7[[#This Row],[Budget]]+Table7137[[#This Row],[Budget]]+Table7148[[#This Row],[Budget]]+Table7159[[#This Row],[Budget]]+Table7258[[#This Row],[Budget]]+Table760[[#This Row],[Budget]]+Table7181[[#This Row],[Budget]]+Table7192[[#This Row],[Budget]]+Table7203[[#This Row],[Budget]]+Table7214[[#This Row],[Budget]]+Table7225[[#This Row],[Budget]]+Table7236[[#This Row],[Budget]])</f>
        <v>0</v>
      </c>
      <c r="H29" s="41">
        <v>0</v>
      </c>
      <c r="I29" s="10">
        <f t="shared" si="3"/>
        <v>0</v>
      </c>
    </row>
    <row r="30" spans="1:9" x14ac:dyDescent="0.35">
      <c r="A30" s="8"/>
      <c r="B30" s="17"/>
      <c r="C30" s="17"/>
      <c r="D30" s="17"/>
      <c r="E30" s="8"/>
      <c r="F30" s="4" t="s">
        <v>23</v>
      </c>
      <c r="G30" s="14">
        <f>SUM(Table7[[#This Row],[Budget]]+Table7137[[#This Row],[Budget]]+Table7148[[#This Row],[Budget]]+Table7159[[#This Row],[Budget]]+Table7258[[#This Row],[Budget]]+Table760[[#This Row],[Budget]]+Table7181[[#This Row],[Budget]]+Table7192[[#This Row],[Budget]]+Table7203[[#This Row],[Budget]]+Table7214[[#This Row],[Budget]]+Table7225[[#This Row],[Budget]]+Table7236[[#This Row],[Budget]])</f>
        <v>0</v>
      </c>
      <c r="H30" s="41">
        <f>IFERROR(AVERAGE(Table7[[#This Row],[Actual]],Table7137[[#This Row],[Actual]],Table7148[[#This Row],[Actual]],Table7159[[#This Row],[Actual]],Table7258[[#This Row],[Actual]],Table760[[#This Row],[Actual]],Table7181[[#This Row],[Actual]],Table7192[[#This Row],[Actual]],Table7203[[#This Row],[Actual]],Table7214[[#This Row],[Actual]],Table7225[[#This Row],[Actual]],Table7236[[#This Row],[Actual]]),"0")</f>
        <v>0</v>
      </c>
      <c r="I30" s="10">
        <f t="shared" si="3"/>
        <v>0</v>
      </c>
    </row>
    <row r="31" spans="1:9" x14ac:dyDescent="0.35">
      <c r="A31" s="21" t="s">
        <v>11</v>
      </c>
      <c r="B31" s="22" t="s">
        <v>99</v>
      </c>
      <c r="C31" s="23" t="s">
        <v>98</v>
      </c>
      <c r="D31" s="23" t="s">
        <v>46</v>
      </c>
      <c r="E31" s="8"/>
      <c r="F31" s="4" t="s">
        <v>43</v>
      </c>
      <c r="G31" s="14">
        <f>SUM(Table7[[#This Row],[Budget]]+Table7137[[#This Row],[Budget]]+Table7148[[#This Row],[Budget]]+Table7159[[#This Row],[Budget]]+Table7258[[#This Row],[Budget]]+Table760[[#This Row],[Budget]]+Table7181[[#This Row],[Budget]]+Table7192[[#This Row],[Budget]]+Table7203[[#This Row],[Budget]]+Table7214[[#This Row],[Budget]]+Table7225[[#This Row],[Budget]]+Table7236[[#This Row],[Budget]])</f>
        <v>0</v>
      </c>
      <c r="H31" s="41">
        <f>IFERROR(AVERAGE(Table7[[#This Row],[Actual]],Table7137[[#This Row],[Actual]],Table7148[[#This Row],[Actual]],Table7159[[#This Row],[Actual]],Table7258[[#This Row],[Actual]],Table760[[#This Row],[Actual]],Table7181[[#This Row],[Actual]],Table7192[[#This Row],[Actual]],Table7203[[#This Row],[Actual]],Table7214[[#This Row],[Actual]],Table7225[[#This Row],[Actual]],Table7236[[#This Row],[Actual]]),"0")</f>
        <v>0</v>
      </c>
      <c r="I31" s="10">
        <f t="shared" si="3"/>
        <v>0</v>
      </c>
    </row>
    <row r="32" spans="1:9" x14ac:dyDescent="0.35">
      <c r="A32" s="4" t="s">
        <v>12</v>
      </c>
      <c r="B32" s="14"/>
      <c r="C32" s="41">
        <f>IFERROR(AVERAGE(Table20[[#This Row],[Actual]],Table20143[[#This Row],[Actual]],Table20154[[#This Row],[Actual]],Table20165[[#This Row],[Actual]],Table20264[[#This Row],[Actual]],Table2066[[#This Row],[Actual]],Table20187[[#This Row],[Actual]],Table20198[[#This Row],[Actual]],Table20209[[#This Row],[Actual]],Table20220[[#This Row],[Actual]],Table20231[[#This Row],[Actual]],Table20242[[#This Row],[Actual]]),"0")</f>
        <v>0</v>
      </c>
      <c r="D32" s="10">
        <f>B32-C32</f>
        <v>0</v>
      </c>
      <c r="E32" s="8"/>
      <c r="F32" s="4" t="s">
        <v>24</v>
      </c>
      <c r="G32" s="14">
        <f>SUM(Table7[[#This Row],[Budget]]+Table7137[[#This Row],[Budget]]+Table7148[[#This Row],[Budget]]+Table7159[[#This Row],[Budget]]+Table7258[[#This Row],[Budget]]+Table760[[#This Row],[Budget]]+Table7181[[#This Row],[Budget]]+Table7192[[#This Row],[Budget]]+Table7203[[#This Row],[Budget]]+Table7214[[#This Row],[Budget]]+Table7225[[#This Row],[Budget]]+Table7236[[#This Row],[Budget]])</f>
        <v>0</v>
      </c>
      <c r="H32" s="41">
        <f>IFERROR(AVERAGE(Table7[[#This Row],[Actual]],Table7137[[#This Row],[Actual]],Table7148[[#This Row],[Actual]],Table7159[[#This Row],[Actual]],Table7258[[#This Row],[Actual]],Table760[[#This Row],[Actual]],Table7181[[#This Row],[Actual]],Table7192[[#This Row],[Actual]],Table7203[[#This Row],[Actual]],Table7214[[#This Row],[Actual]],Table7225[[#This Row],[Actual]],Table7236[[#This Row],[Actual]]),"0")</f>
        <v>0</v>
      </c>
      <c r="I32" s="10">
        <f t="shared" si="3"/>
        <v>0</v>
      </c>
    </row>
    <row r="33" spans="1:9" x14ac:dyDescent="0.35">
      <c r="A33" s="4" t="s">
        <v>52</v>
      </c>
      <c r="B33" s="14"/>
      <c r="C33" s="41">
        <v>0</v>
      </c>
      <c r="D33" s="10">
        <f t="shared" ref="D33:D38" si="4">B33-C33</f>
        <v>0</v>
      </c>
      <c r="E33" s="8"/>
      <c r="F33" s="4" t="s">
        <v>22</v>
      </c>
      <c r="G33" s="14">
        <f>SUM(Table7[[#This Row],[Budget]]+Table7137[[#This Row],[Budget]]+Table7148[[#This Row],[Budget]]+Table7159[[#This Row],[Budget]]+Table7258[[#This Row],[Budget]]+Table760[[#This Row],[Budget]]+Table7181[[#This Row],[Budget]]+Table7192[[#This Row],[Budget]]+Table7203[[#This Row],[Budget]]+Table7214[[#This Row],[Budget]]+Table7225[[#This Row],[Budget]]+Table7236[[#This Row],[Budget]])</f>
        <v>0</v>
      </c>
      <c r="H33" s="41">
        <f>IFERROR(AVERAGE(Table7[[#This Row],[Actual]],Table7137[[#This Row],[Actual]],Table7148[[#This Row],[Actual]],Table7159[[#This Row],[Actual]],Table7258[[#This Row],[Actual]],Table760[[#This Row],[Actual]],Table7181[[#This Row],[Actual]],Table7192[[#This Row],[Actual]],Table7203[[#This Row],[Actual]],Table7214[[#This Row],[Actual]],Table7225[[#This Row],[Actual]],Table7236[[#This Row],[Actual]]),"0")</f>
        <v>0</v>
      </c>
      <c r="I33" s="10">
        <f t="shared" si="3"/>
        <v>0</v>
      </c>
    </row>
    <row r="34" spans="1:9" x14ac:dyDescent="0.35">
      <c r="A34" s="4" t="s">
        <v>13</v>
      </c>
      <c r="B34" s="14"/>
      <c r="C34" s="41">
        <v>0</v>
      </c>
      <c r="D34" s="10">
        <f>B34-C34</f>
        <v>0</v>
      </c>
      <c r="E34" s="8"/>
      <c r="F34" s="4" t="s">
        <v>44</v>
      </c>
      <c r="G34" s="14">
        <f>SUM(Table7[[#This Row],[Budget]]+Table7137[[#This Row],[Budget]]+Table7148[[#This Row],[Budget]]+Table7159[[#This Row],[Budget]]+Table7258[[#This Row],[Budget]]+Table760[[#This Row],[Budget]]+Table7181[[#This Row],[Budget]]+Table7192[[#This Row],[Budget]]+Table7203[[#This Row],[Budget]]+Table7214[[#This Row],[Budget]]+Table7225[[#This Row],[Budget]]+Table7236[[#This Row],[Budget]])</f>
        <v>0</v>
      </c>
      <c r="H34" s="41">
        <f>IFERROR(AVERAGE(Table7[[#This Row],[Actual]],Table7137[[#This Row],[Actual]],Table7148[[#This Row],[Actual]],Table7159[[#This Row],[Actual]],Table7258[[#This Row],[Actual]],Table760[[#This Row],[Actual]],Table7181[[#This Row],[Actual]],Table7192[[#This Row],[Actual]],Table7203[[#This Row],[Actual]],Table7214[[#This Row],[Actual]],Table7225[[#This Row],[Actual]],Table7236[[#This Row],[Actual]]),"0")</f>
        <v>0</v>
      </c>
      <c r="I34" s="10">
        <f t="shared" si="3"/>
        <v>0</v>
      </c>
    </row>
    <row r="35" spans="1:9" x14ac:dyDescent="0.35">
      <c r="A35" s="4" t="s">
        <v>35</v>
      </c>
      <c r="B35" s="14"/>
      <c r="C35" s="41">
        <v>0</v>
      </c>
      <c r="D35" s="10">
        <f t="shared" si="4"/>
        <v>0</v>
      </c>
      <c r="E35" s="8"/>
      <c r="F35" s="4" t="s">
        <v>59</v>
      </c>
      <c r="G35" s="14">
        <f>SUM(Table7[[#This Row],[Budget]]+Table7137[[#This Row],[Budget]]+Table7148[[#This Row],[Budget]]+Table7159[[#This Row],[Budget]]+Table7258[[#This Row],[Budget]]+Table760[[#This Row],[Budget]]+Table7181[[#This Row],[Budget]]+Table7192[[#This Row],[Budget]]+Table7203[[#This Row],[Budget]]+Table7214[[#This Row],[Budget]]+Table7225[[#This Row],[Budget]]+Table7236[[#This Row],[Budget]])</f>
        <v>0</v>
      </c>
      <c r="H35" s="41">
        <v>0</v>
      </c>
      <c r="I35" s="10">
        <f t="shared" si="3"/>
        <v>0</v>
      </c>
    </row>
    <row r="36" spans="1:9" x14ac:dyDescent="0.35">
      <c r="A36" s="4" t="s">
        <v>14</v>
      </c>
      <c r="B36" s="14"/>
      <c r="C36" s="41">
        <v>0</v>
      </c>
      <c r="D36" s="10">
        <f t="shared" si="4"/>
        <v>0</v>
      </c>
      <c r="E36" s="8"/>
      <c r="F36" s="4" t="s">
        <v>76</v>
      </c>
      <c r="G36" s="14">
        <f>SUM(Table7[[#This Row],[Budget]]+Table7137[[#This Row],[Budget]]+Table7148[[#This Row],[Budget]]+Table7159[[#This Row],[Budget]]+Table7258[[#This Row],[Budget]]+Table760[[#This Row],[Budget]]+Table7181[[#This Row],[Budget]]+Table7192[[#This Row],[Budget]]+Table7203[[#This Row],[Budget]]+Table7214[[#This Row],[Budget]]+Table7225[[#This Row],[Budget]]+Table7236[[#This Row],[Budget]])</f>
        <v>0</v>
      </c>
      <c r="H36" s="41">
        <f>IFERROR(AVERAGE(Table7[[#This Row],[Actual]],Table7137[[#This Row],[Actual]],Table7148[[#This Row],[Actual]],Table7159[[#This Row],[Actual]],Table7258[[#This Row],[Actual]],Table760[[#This Row],[Actual]],Table7181[[#This Row],[Actual]],Table7192[[#This Row],[Actual]],Table7203[[#This Row],[Actual]],Table7214[[#This Row],[Actual]],Table7225[[#This Row],[Actual]],Table7236[[#This Row],[Actual]]),"0")</f>
        <v>0</v>
      </c>
      <c r="I36" s="10">
        <f t="shared" si="3"/>
        <v>0</v>
      </c>
    </row>
    <row r="37" spans="1:9" x14ac:dyDescent="0.35">
      <c r="A37" s="4" t="s">
        <v>36</v>
      </c>
      <c r="B37" s="14"/>
      <c r="C37" s="41">
        <v>0</v>
      </c>
      <c r="D37" s="10">
        <f t="shared" si="4"/>
        <v>0</v>
      </c>
      <c r="E37" s="8"/>
      <c r="F37" s="37" t="str">
        <f>"Total " &amp; Table724710[[#Headers],[Entertainment]]</f>
        <v>Total Entertainment</v>
      </c>
      <c r="G37" s="38">
        <f>SUBTOTAL(109,Table724710[Budget])</f>
        <v>0</v>
      </c>
      <c r="H37" s="38">
        <f>SUBTOTAL(109,Table724710[Average])</f>
        <v>0</v>
      </c>
      <c r="I37" s="39">
        <f>SUBTOTAL(109,Table724710[Difference])</f>
        <v>0</v>
      </c>
    </row>
    <row r="38" spans="1:9" x14ac:dyDescent="0.35">
      <c r="A38" s="4" t="s">
        <v>10</v>
      </c>
      <c r="B38" s="14"/>
      <c r="C38" s="41">
        <v>0</v>
      </c>
      <c r="D38" s="10">
        <f t="shared" si="4"/>
        <v>0</v>
      </c>
      <c r="E38" s="8"/>
      <c r="F38" s="8"/>
      <c r="G38" s="17"/>
      <c r="H38" s="17"/>
      <c r="I38" s="17"/>
    </row>
    <row r="39" spans="1:9" x14ac:dyDescent="0.35">
      <c r="A39" s="24" t="str">
        <f>"Total " &amp; Table2025319[[#Headers],[TRANSPORTATION]]</f>
        <v>Total TRANSPORTATION</v>
      </c>
      <c r="B39" s="19"/>
      <c r="C39" s="19">
        <f>SUBTOTAL(109,Table2025319[Average])</f>
        <v>0</v>
      </c>
      <c r="D39" s="13">
        <f>SUBTOTAL(109,Table2025319[Difference])</f>
        <v>0</v>
      </c>
      <c r="E39" s="8"/>
      <c r="F39" s="21" t="s">
        <v>32</v>
      </c>
      <c r="G39" s="22" t="s">
        <v>49</v>
      </c>
      <c r="H39" s="23" t="s">
        <v>98</v>
      </c>
      <c r="I39" s="23" t="s">
        <v>46</v>
      </c>
    </row>
    <row r="40" spans="1:9" x14ac:dyDescent="0.35">
      <c r="A40" s="8"/>
      <c r="B40" s="17"/>
      <c r="C40" s="17"/>
      <c r="D40" s="17"/>
      <c r="E40" s="8"/>
      <c r="F40" s="4" t="s">
        <v>29</v>
      </c>
      <c r="G40" s="14">
        <f>SUM(Table8[[#This Row],[Budget]]+Table8138[[#This Row],[Budget]]+Table8149[[#This Row],[Budget]]+Table8160[[#This Row],[Budget]]+Table8259[[#This Row],[Budget]]+Table861[[#This Row],[Budget]]+Table8182[[#This Row],[Budget]]+Table8193[[#This Row],[Budget]]+Table8204[[#This Row],[Budget]]+Table8215[[#This Row],[Budget]]+Table8226[[#This Row],[Budget]]+Table8237[[#This Row],[Budget]])</f>
        <v>0</v>
      </c>
      <c r="H40" s="41">
        <f>IFERROR(AVERAGE(Table8[[#This Row],[Actual]],Table8138[[#This Row],[Actual]],Table8149[[#This Row],[Actual]],Table8160[[#This Row],[Actual]],Table8259[[#This Row],[Actual]],Table861[[#This Row],[Actual]],Table8182[[#This Row],[Actual]],Table8193[[#This Row],[Actual]],Table8204[[#This Row],[Actual]],Table8215[[#This Row],[Actual]],Table8226[[#This Row],[Actual]],Table8237[[#This Row],[Actual]]),"0")</f>
        <v>0</v>
      </c>
      <c r="I40" s="10">
        <f>G40-H40</f>
        <v>0</v>
      </c>
    </row>
    <row r="41" spans="1:9" x14ac:dyDescent="0.35">
      <c r="A41" s="21" t="s">
        <v>15</v>
      </c>
      <c r="B41" s="22" t="s">
        <v>99</v>
      </c>
      <c r="C41" s="23" t="s">
        <v>98</v>
      </c>
      <c r="D41" s="23" t="s">
        <v>46</v>
      </c>
      <c r="E41" s="8"/>
      <c r="F41" s="4" t="s">
        <v>30</v>
      </c>
      <c r="G41" s="14">
        <f>SUM(Table8[[#This Row],[Budget]]+Table8138[[#This Row],[Budget]]+Table8149[[#This Row],[Budget]]+Table8160[[#This Row],[Budget]]+Table8259[[#This Row],[Budget]]+Table861[[#This Row],[Budget]]+Table8182[[#This Row],[Budget]]+Table8193[[#This Row],[Budget]]+Table8204[[#This Row],[Budget]]+Table8215[[#This Row],[Budget]]+Table8226[[#This Row],[Budget]]+Table8237[[#This Row],[Budget]])</f>
        <v>0</v>
      </c>
      <c r="H41" s="41">
        <v>0</v>
      </c>
      <c r="I41" s="10">
        <f t="shared" ref="I41:I42" si="5">G41-H41</f>
        <v>0</v>
      </c>
    </row>
    <row r="42" spans="1:9" x14ac:dyDescent="0.35">
      <c r="A42" s="4" t="s">
        <v>53</v>
      </c>
      <c r="B42" s="14"/>
      <c r="C42" s="41">
        <f>IFERROR(AVERAGE(Table21[[#This Row],[Actual]],Table21144[[#This Row],[Actual]],Table21155[[#This Row],[Actual]],Table21166[[#This Row],[Actual]],Table21265[[#This Row],[Actual]],Table2167[[#This Row],[Actual]],Table21188[[#This Row],[Actual]],Table21199[[#This Row],[Actual]],Table21210[[#This Row],[Actual]],Table21221[[#This Row],[Actual]],Table21232[[#This Row],[Actual]],Table21243[[#This Row],[Actual]]),"0")</f>
        <v>0</v>
      </c>
      <c r="D42" s="10">
        <f t="shared" ref="D42:D48" si="6">B42-C42</f>
        <v>0</v>
      </c>
      <c r="E42" s="8"/>
      <c r="F42" s="4" t="s">
        <v>33</v>
      </c>
      <c r="G42" s="14">
        <f>SUM(Table8[[#This Row],[Budget]]+Table8138[[#This Row],[Budget]]+Table8149[[#This Row],[Budget]]+Table8160[[#This Row],[Budget]]+Table8259[[#This Row],[Budget]]+Table861[[#This Row],[Budget]]+Table8182[[#This Row],[Budget]]+Table8193[[#This Row],[Budget]]+Table8204[[#This Row],[Budget]]+Table8215[[#This Row],[Budget]]+Table8226[[#This Row],[Budget]]+Table8237[[#This Row],[Budget]])</f>
        <v>0</v>
      </c>
      <c r="H42" s="41">
        <f>IFERROR(AVERAGE(Table8[[#This Row],[Actual]],Table8138[[#This Row],[Actual]],Table8149[[#This Row],[Actual]],Table8160[[#This Row],[Actual]],Table8259[[#This Row],[Actual]],Table861[[#This Row],[Actual]],Table8182[[#This Row],[Actual]],Table8193[[#This Row],[Actual]],Table8204[[#This Row],[Actual]],Table8215[[#This Row],[Actual]],Table8226[[#This Row],[Actual]],Table8237[[#This Row],[Actual]]),"0")</f>
        <v>0</v>
      </c>
      <c r="I42" s="10">
        <f t="shared" si="5"/>
        <v>0</v>
      </c>
    </row>
    <row r="43" spans="1:9" x14ac:dyDescent="0.35">
      <c r="A43" s="4" t="s">
        <v>16</v>
      </c>
      <c r="B43" s="14"/>
      <c r="C43" s="41">
        <f>IFERROR(AVERAGE(Table21[[#This Row],[Actual]],Table21144[[#This Row],[Actual]],Table21155[[#This Row],[Actual]],Table21166[[#This Row],[Actual]],Table21265[[#This Row],[Actual]],Table2167[[#This Row],[Actual]],Table21188[[#This Row],[Actual]],Table21199[[#This Row],[Actual]],Table21210[[#This Row],[Actual]],Table21221[[#This Row],[Actual]],Table21232[[#This Row],[Actual]],Table21243[[#This Row],[Actual]]),"0")</f>
        <v>0</v>
      </c>
      <c r="D43" s="10">
        <f t="shared" si="6"/>
        <v>0</v>
      </c>
      <c r="E43" s="8"/>
      <c r="F43" s="4" t="s">
        <v>31</v>
      </c>
      <c r="G43" s="14">
        <f>SUM(Table8[[#This Row],[Budget]]+Table8138[[#This Row],[Budget]]+Table8149[[#This Row],[Budget]]+Table8160[[#This Row],[Budget]]+Table8259[[#This Row],[Budget]]+Table861[[#This Row],[Budget]]+Table8182[[#This Row],[Budget]]+Table8193[[#This Row],[Budget]]+Table8204[[#This Row],[Budget]]+Table8215[[#This Row],[Budget]]+Table8226[[#This Row],[Budget]]+Table8237[[#This Row],[Budget]])</f>
        <v>0</v>
      </c>
      <c r="H43" s="41">
        <f>IFERROR(AVERAGE(Table8[[#This Row],[Actual]],Table8138[[#This Row],[Actual]],Table8149[[#This Row],[Actual]],Table8160[[#This Row],[Actual]],Table8259[[#This Row],[Actual]],Table861[[#This Row],[Actual]],Table8182[[#This Row],[Actual]],Table8193[[#This Row],[Actual]],Table8204[[#This Row],[Actual]],Table8215[[#This Row],[Actual]],Table8226[[#This Row],[Actual]],Table8237[[#This Row],[Actual]]),"0")</f>
        <v>0</v>
      </c>
      <c r="I43" s="10">
        <f>G43-H43</f>
        <v>0</v>
      </c>
    </row>
    <row r="44" spans="1:9" x14ac:dyDescent="0.35">
      <c r="A44" s="4" t="s">
        <v>17</v>
      </c>
      <c r="B44" s="14"/>
      <c r="C44" s="41">
        <f>IFERROR(AVERAGE(Table21[[#This Row],[Actual]],Table21144[[#This Row],[Actual]],Table21155[[#This Row],[Actual]],Table21166[[#This Row],[Actual]],Table21265[[#This Row],[Actual]],Table2167[[#This Row],[Actual]],Table21188[[#This Row],[Actual]],Table21199[[#This Row],[Actual]],Table21210[[#This Row],[Actual]],Table21221[[#This Row],[Actual]],Table21232[[#This Row],[Actual]],Table21243[[#This Row],[Actual]]),"0")</f>
        <v>0</v>
      </c>
      <c r="D44" s="10">
        <f t="shared" si="6"/>
        <v>0</v>
      </c>
      <c r="E44" s="8"/>
      <c r="F44" s="4" t="s">
        <v>60</v>
      </c>
      <c r="G44" s="14">
        <f>SUM(Table8[[#This Row],[Budget]]+Table8138[[#This Row],[Budget]]+Table8149[[#This Row],[Budget]]+Table8160[[#This Row],[Budget]]+Table8259[[#This Row],[Budget]]+Table861[[#This Row],[Budget]]+Table8182[[#This Row],[Budget]]+Table8193[[#This Row],[Budget]]+Table8204[[#This Row],[Budget]]+Table8215[[#This Row],[Budget]]+Table8226[[#This Row],[Budget]]+Table8237[[#This Row],[Budget]])</f>
        <v>0</v>
      </c>
      <c r="H44" s="41">
        <f>IFERROR(AVERAGE(Table8[[#This Row],[Actual]],Table8138[[#This Row],[Actual]],Table8149[[#This Row],[Actual]],Table8160[[#This Row],[Actual]],Table8259[[#This Row],[Actual]],Table861[[#This Row],[Actual]],Table8182[[#This Row],[Actual]],Table8193[[#This Row],[Actual]],Table8204[[#This Row],[Actual]],Table8215[[#This Row],[Actual]],Table8226[[#This Row],[Actual]],Table8237[[#This Row],[Actual]]),"0")</f>
        <v>0</v>
      </c>
      <c r="I44" s="10">
        <f>G44-H44</f>
        <v>0</v>
      </c>
    </row>
    <row r="45" spans="1:9" x14ac:dyDescent="0.35">
      <c r="A45" s="4" t="s">
        <v>18</v>
      </c>
      <c r="B45" s="14"/>
      <c r="C45" s="41">
        <f>IFERROR(AVERAGE(Table21[[#This Row],[Actual]],Table21144[[#This Row],[Actual]],Table21155[[#This Row],[Actual]],Table21166[[#This Row],[Actual]],Table21265[[#This Row],[Actual]],Table2167[[#This Row],[Actual]],Table21188[[#This Row],[Actual]],Table21199[[#This Row],[Actual]],Table21210[[#This Row],[Actual]],Table21221[[#This Row],[Actual]],Table21232[[#This Row],[Actual]],Table21243[[#This Row],[Actual]]),"0")</f>
        <v>0</v>
      </c>
      <c r="D45" s="10">
        <f t="shared" si="6"/>
        <v>0</v>
      </c>
      <c r="E45" s="8"/>
      <c r="F45" s="4" t="s">
        <v>10</v>
      </c>
      <c r="G45" s="14">
        <f>SUM(Table8[[#This Row],[Budget]]+Table8138[[#This Row],[Budget]]+Table8149[[#This Row],[Budget]]+Table8160[[#This Row],[Budget]]+Table8259[[#This Row],[Budget]]+Table861[[#This Row],[Budget]]+Table8182[[#This Row],[Budget]]+Table8193[[#This Row],[Budget]]+Table8204[[#This Row],[Budget]]+Table8215[[#This Row],[Budget]]+Table8226[[#This Row],[Budget]]+Table8237[[#This Row],[Budget]])</f>
        <v>0</v>
      </c>
      <c r="H45" s="41">
        <f>IFERROR(AVERAGE(Table8[[#This Row],[Actual]],Table8138[[#This Row],[Actual]],Table8149[[#This Row],[Actual]],Table8160[[#This Row],[Actual]],Table8259[[#This Row],[Actual]],Table861[[#This Row],[Actual]],Table8182[[#This Row],[Actual]],Table8193[[#This Row],[Actual]],Table8204[[#This Row],[Actual]],Table8215[[#This Row],[Actual]],Table8226[[#This Row],[Actual]],Table8237[[#This Row],[Actual]]),"0")</f>
        <v>0</v>
      </c>
      <c r="I45" s="10">
        <f>G45-H45</f>
        <v>0</v>
      </c>
    </row>
    <row r="46" spans="1:9" x14ac:dyDescent="0.35">
      <c r="A46" s="4" t="s">
        <v>54</v>
      </c>
      <c r="B46" s="14"/>
      <c r="C46" s="41">
        <f>IFERROR(AVERAGE(Table21[[#This Row],[Actual]],Table21144[[#This Row],[Actual]],Table21155[[#This Row],[Actual]],Table21166[[#This Row],[Actual]],Table21265[[#This Row],[Actual]],Table2167[[#This Row],[Actual]],Table21188[[#This Row],[Actual]],Table21199[[#This Row],[Actual]],Table21210[[#This Row],[Actual]],Table21221[[#This Row],[Actual]],Table21232[[#This Row],[Actual]],Table21243[[#This Row],[Actual]]),"0")</f>
        <v>0</v>
      </c>
      <c r="D46" s="10">
        <f t="shared" si="6"/>
        <v>0</v>
      </c>
      <c r="E46" s="8"/>
      <c r="F46" s="24" t="str">
        <f>"Total " &amp; Table824812[[#Headers],[SAVINGS]]</f>
        <v>Total SAVINGS</v>
      </c>
      <c r="G46" s="19">
        <f>SUBTOTAL(109,Table824812[Budget])</f>
        <v>0</v>
      </c>
      <c r="H46" s="19">
        <f>SUBTOTAL(109,Table824812[Average])</f>
        <v>0</v>
      </c>
      <c r="I46" s="13">
        <f>SUBTOTAL(109,Table824812[Difference])</f>
        <v>0</v>
      </c>
    </row>
    <row r="47" spans="1:9" x14ac:dyDescent="0.35">
      <c r="A47" s="4" t="s">
        <v>55</v>
      </c>
      <c r="B47" s="14"/>
      <c r="C47" s="41">
        <f>IFERROR(AVERAGE(Table21[[#This Row],[Actual]],Table21144[[#This Row],[Actual]],Table21155[[#This Row],[Actual]],Table21166[[#This Row],[Actual]],Table21265[[#This Row],[Actual]],Table2167[[#This Row],[Actual]],Table21188[[#This Row],[Actual]],Table21199[[#This Row],[Actual]],Table21210[[#This Row],[Actual]],Table21221[[#This Row],[Actual]],Table21232[[#This Row],[Actual]],Table21243[[#This Row],[Actual]]),"0")</f>
        <v>0</v>
      </c>
      <c r="D47" s="10">
        <f t="shared" si="6"/>
        <v>0</v>
      </c>
      <c r="E47" s="8"/>
      <c r="F47" s="8"/>
      <c r="G47" s="17"/>
      <c r="H47" s="17"/>
      <c r="I47" s="17"/>
    </row>
    <row r="48" spans="1:9" x14ac:dyDescent="0.35">
      <c r="A48" s="4" t="s">
        <v>10</v>
      </c>
      <c r="B48" s="14"/>
      <c r="C48" s="41">
        <f>IFERROR(AVERAGE(Table21[[#This Row],[Actual]],Table21144[[#This Row],[Actual]],Table21155[[#This Row],[Actual]],Table21166[[#This Row],[Actual]],Table21265[[#This Row],[Actual]],Table2167[[#This Row],[Actual]],Table21188[[#This Row],[Actual]],Table21199[[#This Row],[Actual]],Table21210[[#This Row],[Actual]],Table21221[[#This Row],[Actual]],Table21232[[#This Row],[Actual]],Table21243[[#This Row],[Actual]]),"0")</f>
        <v>0</v>
      </c>
      <c r="D48" s="10">
        <f t="shared" si="6"/>
        <v>0</v>
      </c>
      <c r="E48" s="8"/>
      <c r="F48" s="21" t="s">
        <v>34</v>
      </c>
      <c r="G48" s="22" t="s">
        <v>49</v>
      </c>
      <c r="H48" s="23" t="s">
        <v>98</v>
      </c>
      <c r="I48" s="23" t="s">
        <v>46</v>
      </c>
    </row>
    <row r="49" spans="1:9" x14ac:dyDescent="0.35">
      <c r="A49" s="37" t="str">
        <f>"Total " &amp; Table2125423[[#Headers],[HEALTH]]</f>
        <v>Total HEALTH</v>
      </c>
      <c r="B49" s="38"/>
      <c r="C49" s="38">
        <f>SUBTOTAL(109,Table2125423[Average])</f>
        <v>0</v>
      </c>
      <c r="D49" s="39">
        <f>SUBTOTAL(109,Table2125423[Difference])</f>
        <v>0</v>
      </c>
      <c r="E49" s="8"/>
      <c r="F49" s="4" t="s">
        <v>114</v>
      </c>
      <c r="G49" s="14">
        <f>SUM(Table10[[#This Row],[Budget]]+Table10139[[#This Row],[Budget]]+Table10150[[#This Row],[Budget]]+Table10161[[#This Row],[Budget]]+Table10260[[#This Row],[Budget]]+Table1062[[#This Row],[Budget]]+Table10183[[#This Row],[Budget]]+Table10194[[#This Row],[Budget]]+Table10205[[#This Row],[Budget]]+Table10216[[#This Row],[Budget]]+Table10227[[#This Row],[Budget]]+Table10238[[#This Row],[Budget]])</f>
        <v>0</v>
      </c>
      <c r="H49" s="41">
        <v>0</v>
      </c>
      <c r="I49" s="10">
        <f t="shared" ref="I49:I55" si="7">G49-H49</f>
        <v>0</v>
      </c>
    </row>
    <row r="50" spans="1:9" x14ac:dyDescent="0.35">
      <c r="A50" s="8"/>
      <c r="B50" s="17"/>
      <c r="C50" s="17"/>
      <c r="D50" s="17"/>
      <c r="E50" s="8"/>
      <c r="F50" s="4" t="s">
        <v>114</v>
      </c>
      <c r="G50" s="14">
        <f>SUM(Table10[[#This Row],[Budget]]+Table10139[[#This Row],[Budget]]+Table10150[[#This Row],[Budget]]+Table10161[[#This Row],[Budget]]+Table10260[[#This Row],[Budget]]+Table1062[[#This Row],[Budget]]+Table10183[[#This Row],[Budget]]+Table10194[[#This Row],[Budget]]+Table10205[[#This Row],[Budget]]+Table10216[[#This Row],[Budget]]+Table10227[[#This Row],[Budget]]+Table10238[[#This Row],[Budget]])</f>
        <v>0</v>
      </c>
      <c r="H50" s="41">
        <f>IFERROR(AVERAGE(Table10[[#This Row],[Actual]],Table10139[[#This Row],[Actual]],Table10150[[#This Row],[Actual]],Table10161[[#This Row],[Actual]],Table10260[[#This Row],[Actual]],Table1062[[#This Row],[Actual]],Table10183[[#This Row],[Actual]],Table10194[[#This Row],[Actual]],Table10205[[#This Row],[Actual]],Table10216[[#This Row],[Actual]],Table10227[[#This Row],[Actual]],Table10238[[#This Row],[Actual]]),"0")</f>
        <v>0</v>
      </c>
      <c r="I50" s="10">
        <f t="shared" si="7"/>
        <v>0</v>
      </c>
    </row>
    <row r="51" spans="1:9" x14ac:dyDescent="0.35">
      <c r="A51" s="21" t="s">
        <v>45</v>
      </c>
      <c r="B51" s="22" t="s">
        <v>99</v>
      </c>
      <c r="C51" s="23" t="s">
        <v>98</v>
      </c>
      <c r="D51" s="23" t="s">
        <v>46</v>
      </c>
      <c r="E51" s="8"/>
      <c r="F51" s="4" t="s">
        <v>114</v>
      </c>
      <c r="G51" s="14">
        <f>SUM(Table10[[#This Row],[Budget]]+Table10139[[#This Row],[Budget]]+Table10150[[#This Row],[Budget]]+Table10161[[#This Row],[Budget]]+Table10260[[#This Row],[Budget]]+Table1062[[#This Row],[Budget]]+Table10183[[#This Row],[Budget]]+Table10194[[#This Row],[Budget]]+Table10205[[#This Row],[Budget]]+Table10216[[#This Row],[Budget]]+Table10227[[#This Row],[Budget]]+Table10238[[#This Row],[Budget]])</f>
        <v>0</v>
      </c>
      <c r="H51" s="41">
        <f>IFERROR(AVERAGE(Table10[[#This Row],[Actual]],Table10139[[#This Row],[Actual]],Table10150[[#This Row],[Actual]],Table10161[[#This Row],[Actual]],Table10260[[#This Row],[Actual]],Table1062[[#This Row],[Actual]],Table10183[[#This Row],[Actual]],Table10194[[#This Row],[Actual]],Table10205[[#This Row],[Actual]],Table10216[[#This Row],[Actual]],Table10227[[#This Row],[Actual]],Table10238[[#This Row],[Actual]]),"0")</f>
        <v>0</v>
      </c>
      <c r="I51" s="10">
        <f t="shared" si="7"/>
        <v>0</v>
      </c>
    </row>
    <row r="52" spans="1:9" x14ac:dyDescent="0.35">
      <c r="A52" s="4" t="s">
        <v>6</v>
      </c>
      <c r="B52" s="14"/>
      <c r="C52" s="41">
        <f>IFERROR(AVERAGE(Table19[[#This Row],[Actual]],Table19142[[#This Row],[Actual]],Table19153[[#This Row],[Actual]],Table19164[[#This Row],[Actual]],Table19263[[#This Row],[Actual]],Table1965[[#This Row],[Actual]],Table19186[[#This Row],[Actual]],Table19197[[#This Row],[Actual]],Table19208[[#This Row],[Actual]],Table19219[[#This Row],[Actual]],Table19230[[#This Row],[Actual]],Table19241[[#This Row],[Actual]]),"0")</f>
        <v>0</v>
      </c>
      <c r="D52" s="10">
        <f t="shared" ref="D52:D55" si="8">B52-C52</f>
        <v>0</v>
      </c>
      <c r="E52" s="8"/>
      <c r="F52" s="4" t="s">
        <v>115</v>
      </c>
      <c r="G52" s="14">
        <f>SUM(Table10[[#This Row],[Budget]]+Table10139[[#This Row],[Budget]]+Table10150[[#This Row],[Budget]]+Table10161[[#This Row],[Budget]]+Table10260[[#This Row],[Budget]]+Table1062[[#This Row],[Budget]]+Table10183[[#This Row],[Budget]]+Table10194[[#This Row],[Budget]]+Table10205[[#This Row],[Budget]]+Table10216[[#This Row],[Budget]]+Table10227[[#This Row],[Budget]]+Table10238[[#This Row],[Budget]])</f>
        <v>0</v>
      </c>
      <c r="H52" s="41">
        <f>IFERROR(AVERAGE(Table10[[#This Row],[Actual]],Table10139[[#This Row],[Actual]],Table10150[[#This Row],[Actual]],Table10161[[#This Row],[Actual]],Table10260[[#This Row],[Actual]],Table1062[[#This Row],[Actual]],Table10183[[#This Row],[Actual]],Table10194[[#This Row],[Actual]],Table10205[[#This Row],[Actual]],Table10216[[#This Row],[Actual]],Table10227[[#This Row],[Actual]],Table10238[[#This Row],[Actual]]),"0")</f>
        <v>0</v>
      </c>
      <c r="I52" s="10">
        <f t="shared" si="7"/>
        <v>0</v>
      </c>
    </row>
    <row r="53" spans="1:9" x14ac:dyDescent="0.35">
      <c r="A53" s="4" t="s">
        <v>27</v>
      </c>
      <c r="B53" s="14"/>
      <c r="C53" s="41">
        <f>IFERROR(AVERAGE(Table19[[#This Row],[Actual]],Table19142[[#This Row],[Actual]],Table19153[[#This Row],[Actual]],Table19164[[#This Row],[Actual]],Table19263[[#This Row],[Actual]],Table1965[[#This Row],[Actual]],Table19186[[#This Row],[Actual]],Table19197[[#This Row],[Actual]],Table19208[[#This Row],[Actual]],Table19219[[#This Row],[Actual]],Table19230[[#This Row],[Actual]],Table19241[[#This Row],[Actual]]),"0")</f>
        <v>0</v>
      </c>
      <c r="D53" s="10">
        <f t="shared" si="8"/>
        <v>0</v>
      </c>
      <c r="E53" s="8"/>
      <c r="F53" s="4" t="s">
        <v>115</v>
      </c>
      <c r="G53" s="14">
        <f>SUM(Table10[[#This Row],[Budget]]+Table10139[[#This Row],[Budget]]+Table10150[[#This Row],[Budget]]+Table10161[[#This Row],[Budget]]+Table10260[[#This Row],[Budget]]+Table1062[[#This Row],[Budget]]+Table10183[[#This Row],[Budget]]+Table10194[[#This Row],[Budget]]+Table10205[[#This Row],[Budget]]+Table10216[[#This Row],[Budget]]+Table10227[[#This Row],[Budget]]+Table10238[[#This Row],[Budget]])</f>
        <v>0</v>
      </c>
      <c r="H53" s="41">
        <f>IFERROR(AVERAGE(Table10[[#This Row],[Actual]],Table10139[[#This Row],[Actual]],Table10150[[#This Row],[Actual]],Table10161[[#This Row],[Actual]],Table10260[[#This Row],[Actual]],Table1062[[#This Row],[Actual]],Table10183[[#This Row],[Actual]],Table10194[[#This Row],[Actual]],Table10205[[#This Row],[Actual]],Table10216[[#This Row],[Actual]],Table10227[[#This Row],[Actual]],Table10238[[#This Row],[Actual]]),"0")</f>
        <v>0</v>
      </c>
      <c r="I53" s="10">
        <f t="shared" si="7"/>
        <v>0</v>
      </c>
    </row>
    <row r="54" spans="1:9" x14ac:dyDescent="0.35">
      <c r="A54" s="4" t="s">
        <v>28</v>
      </c>
      <c r="B54" s="14"/>
      <c r="C54" s="41">
        <v>0</v>
      </c>
      <c r="D54" s="10">
        <f t="shared" si="8"/>
        <v>0</v>
      </c>
      <c r="E54" s="8"/>
      <c r="F54" s="4" t="s">
        <v>116</v>
      </c>
      <c r="G54" s="14">
        <f>SUM(Table10[[#This Row],[Budget]]+Table10139[[#This Row],[Budget]]+Table10150[[#This Row],[Budget]]+Table10161[[#This Row],[Budget]]+Table10260[[#This Row],[Budget]]+Table1062[[#This Row],[Budget]]+Table10183[[#This Row],[Budget]]+Table10194[[#This Row],[Budget]]+Table10205[[#This Row],[Budget]]+Table10216[[#This Row],[Budget]]+Table10227[[#This Row],[Budget]]+Table10238[[#This Row],[Budget]])</f>
        <v>0</v>
      </c>
      <c r="H54" s="41">
        <f>IFERROR(AVERAGE(Table10[[#This Row],[Actual]],Table10139[[#This Row],[Actual]],Table10150[[#This Row],[Actual]],Table10161[[#This Row],[Actual]],Table10260[[#This Row],[Actual]],Table1062[[#This Row],[Actual]],Table10183[[#This Row],[Actual]],Table10194[[#This Row],[Actual]],Table10205[[#This Row],[Actual]],Table10216[[#This Row],[Actual]],Table10227[[#This Row],[Actual]],Table10238[[#This Row],[Actual]]),"0")</f>
        <v>0</v>
      </c>
      <c r="I54" s="10">
        <f t="shared" si="7"/>
        <v>0</v>
      </c>
    </row>
    <row r="55" spans="1:9" x14ac:dyDescent="0.35">
      <c r="A55" s="4" t="s">
        <v>10</v>
      </c>
      <c r="B55" s="14"/>
      <c r="C55" s="41">
        <f>IFERROR(AVERAGE(Table19[[#This Row],[Actual]],Table19142[[#This Row],[Actual]],Table19153[[#This Row],[Actual]],Table19164[[#This Row],[Actual]],Table19263[[#This Row],[Actual]],Table1965[[#This Row],[Actual]],Table19186[[#This Row],[Actual]],Table19197[[#This Row],[Actual]],Table19208[[#This Row],[Actual]],Table19219[[#This Row],[Actual]],Table19230[[#This Row],[Actual]],Table19241[[#This Row],[Actual]]),"0")</f>
        <v>0</v>
      </c>
      <c r="D55" s="10">
        <f t="shared" si="8"/>
        <v>0</v>
      </c>
      <c r="E55" s="8"/>
      <c r="F55" s="4" t="s">
        <v>117</v>
      </c>
      <c r="G55" s="14">
        <f>SUM(Table10[[#This Row],[Budget]]+Table10139[[#This Row],[Budget]]+Table10150[[#This Row],[Budget]]+Table10161[[#This Row],[Budget]]+Table10260[[#This Row],[Budget]]+Table1062[[#This Row],[Budget]]+Table10183[[#This Row],[Budget]]+Table10194[[#This Row],[Budget]]+Table10205[[#This Row],[Budget]]+Table10216[[#This Row],[Budget]]+Table10227[[#This Row],[Budget]]+Table10238[[#This Row],[Budget]])</f>
        <v>0</v>
      </c>
      <c r="H55" s="41">
        <f>IFERROR(AVERAGE(Table10[[#This Row],[Actual]],Table10139[[#This Row],[Actual]],Table10150[[#This Row],[Actual]],Table10161[[#This Row],[Actual]],Table10260[[#This Row],[Actual]],Table1062[[#This Row],[Actual]],Table10183[[#This Row],[Actual]],Table10194[[#This Row],[Actual]],Table10205[[#This Row],[Actual]],Table10216[[#This Row],[Actual]],Table10227[[#This Row],[Actual]],Table10238[[#This Row],[Actual]]),"0")</f>
        <v>0</v>
      </c>
      <c r="I55" s="10">
        <f t="shared" si="7"/>
        <v>0</v>
      </c>
    </row>
    <row r="56" spans="1:9" x14ac:dyDescent="0.35">
      <c r="A56" s="37" t="str">
        <f>"Total " &amp; Table1925218[[#Headers],[CHARITY/GIFTS]]</f>
        <v>Total CHARITY/GIFTS</v>
      </c>
      <c r="B56" s="38"/>
      <c r="C56" s="38">
        <f>SUBTOTAL(109,Table1925218[Average])</f>
        <v>0</v>
      </c>
      <c r="D56" s="39">
        <f>SUBTOTAL(109,Table1925218[Difference])</f>
        <v>0</v>
      </c>
      <c r="E56" s="8"/>
      <c r="F56" s="37" t="str">
        <f>"Total " &amp; Table1024913[[#Headers],[OBLIGATIONS]]</f>
        <v>Total OBLIGATIONS</v>
      </c>
      <c r="G56" s="38">
        <f>SUBTOTAL(109,Table1024913[Budget])</f>
        <v>0</v>
      </c>
      <c r="H56" s="38">
        <f>SUBTOTAL(109,Table1024913[Average])</f>
        <v>0</v>
      </c>
      <c r="I56" s="39">
        <f>SUBTOTAL(109,Table1024913[Difference])</f>
        <v>0</v>
      </c>
    </row>
    <row r="57" spans="1:9" x14ac:dyDescent="0.35">
      <c r="A57" s="8"/>
      <c r="B57" s="17"/>
      <c r="C57" s="17"/>
      <c r="D57" s="17"/>
      <c r="E57" s="8"/>
      <c r="F57" s="8"/>
      <c r="G57" s="17"/>
      <c r="H57" s="17"/>
      <c r="I57" s="17"/>
    </row>
    <row r="58" spans="1:9" x14ac:dyDescent="0.35">
      <c r="A58" s="21" t="s">
        <v>25</v>
      </c>
      <c r="B58" s="22" t="s">
        <v>99</v>
      </c>
      <c r="C58" s="23" t="s">
        <v>98</v>
      </c>
      <c r="D58" s="23" t="s">
        <v>46</v>
      </c>
      <c r="E58" s="8"/>
      <c r="F58" s="21" t="s">
        <v>8</v>
      </c>
      <c r="G58" s="22" t="s">
        <v>49</v>
      </c>
      <c r="H58" s="23" t="s">
        <v>98</v>
      </c>
      <c r="I58" s="23" t="s">
        <v>46</v>
      </c>
    </row>
    <row r="59" spans="1:9" x14ac:dyDescent="0.35">
      <c r="A59" s="4" t="s">
        <v>19</v>
      </c>
      <c r="B59" s="14"/>
      <c r="C59" s="41">
        <f>IFERROR(AVERAGE(Table15[[#This Row],[Actual]],Table15141[[#This Row],[Actual]],Table15152[[#This Row],[Actual]],Table15163[[#This Row],[Actual]],Table15262[[#This Row],[Actual]],Table1564[[#This Row],[Actual]],Table15185[[#This Row],[Actual]],Table15185[[#This Row],[Actual]],Table15196[[#This Row],[Actual]],Table15207[[#This Row],[Actual]],Table15218[[#This Row],[Actual]],Table15229[[#This Row],[Actual]],Table15240[[#This Row],[Actual]]),"0")</f>
        <v>0</v>
      </c>
      <c r="D59" s="10">
        <f t="shared" ref="D59:D62" si="9">B59-C59</f>
        <v>0</v>
      </c>
      <c r="E59" s="8"/>
      <c r="F59" s="4" t="s">
        <v>68</v>
      </c>
      <c r="G59" s="9">
        <f>SUM(Table14[[#This Row],[Budget]]+Table14140[[#This Row],[Budget]]+Table14151[[#This Row],[Budget]]+Table14162[[#This Row],[Budget]]+Table14261[[#This Row],[Budget]]+Table1463[[#This Row],[Budget]]+Table14184[[#This Row],[Budget]]+Table14195[[#This Row],[Budget]]+Table14206[[#This Row],[Budget]]+Table14217[[#This Row],[Budget]]+Table14228[[#This Row],[Budget]]+Table14239[[#This Row],[Budget]])</f>
        <v>0</v>
      </c>
      <c r="H59" s="40">
        <f>IFERROR(AVERAGE(Table14[[#This Row],[Actual]],Table14140[[#This Row],[Actual]],Table14151[[#This Row],[Actual]],Table14162[[#This Row],[Actual]],Table14261[[#This Row],[Actual]],Table1463[[#This Row],[Actual]],Table14184[[#This Row],[Actual]],Table14195[[#This Row],[Actual]],Table14206[[#This Row],[Actual]],Table14217[[#This Row],[Actual]],Table14228[[#This Row],[Actual]],Table14239[[#This Row],[Actual]]),"0")</f>
        <v>0</v>
      </c>
      <c r="I59" s="10">
        <f t="shared" ref="I59:I62" si="10">G59-H59</f>
        <v>0</v>
      </c>
    </row>
    <row r="60" spans="1:9" x14ac:dyDescent="0.35">
      <c r="A60" s="4" t="s">
        <v>20</v>
      </c>
      <c r="B60" s="14"/>
      <c r="C60" s="41">
        <f>IFERROR(AVERAGE(Table15[[#This Row],[Actual]],Table15141[[#This Row],[Actual]],Table15152[[#This Row],[Actual]],Table15163[[#This Row],[Actual]],Table15262[[#This Row],[Actual]],Table1564[[#This Row],[Actual]],Table15185[[#This Row],[Actual]],Table15185[[#This Row],[Actual]],Table15196[[#This Row],[Actual]],Table15207[[#This Row],[Actual]],Table15218[[#This Row],[Actual]],Table15229[[#This Row],[Actual]],Table15240[[#This Row],[Actual]]),"0")</f>
        <v>0</v>
      </c>
      <c r="D60" s="10">
        <f t="shared" si="9"/>
        <v>0</v>
      </c>
      <c r="E60" s="8"/>
      <c r="F60" s="4" t="s">
        <v>72</v>
      </c>
      <c r="G60" s="9">
        <f>SUM(Table14[[#This Row],[Budget]]+Table14140[[#This Row],[Budget]]+Table14151[[#This Row],[Budget]]+Table14162[[#This Row],[Budget]]+Table14261[[#This Row],[Budget]]+Table1463[[#This Row],[Budget]]+Table14184[[#This Row],[Budget]]+Table14195[[#This Row],[Budget]]+Table14206[[#This Row],[Budget]]+Table14217[[#This Row],[Budget]]+Table14228[[#This Row],[Budget]]+Table14239[[#This Row],[Budget]])</f>
        <v>0</v>
      </c>
      <c r="H60" s="40">
        <f>IFERROR(AVERAGE(Table14[[#This Row],[Actual]],Table14140[[#This Row],[Actual]],Table14151[[#This Row],[Actual]],Table14162[[#This Row],[Actual]],Table14261[[#This Row],[Actual]],Table1463[[#This Row],[Actual]],Table14184[[#This Row],[Actual]],Table14195[[#This Row],[Actual]],Table14206[[#This Row],[Actual]],Table14217[[#This Row],[Actual]],Table14228[[#This Row],[Actual]],Table14239[[#This Row],[Actual]]),"0")</f>
        <v>0</v>
      </c>
      <c r="I60" s="10">
        <f t="shared" si="10"/>
        <v>0</v>
      </c>
    </row>
    <row r="61" spans="1:9" x14ac:dyDescent="0.35">
      <c r="A61" s="4" t="s">
        <v>56</v>
      </c>
      <c r="B61" s="14"/>
      <c r="C61" s="41">
        <f>IFERROR(AVERAGE(Table15[[#This Row],[Actual]],Table15141[[#This Row],[Actual]],Table15152[[#This Row],[Actual]],Table15163[[#This Row],[Actual]],Table15262[[#This Row],[Actual]],Table1564[[#This Row],[Actual]],Table15185[[#This Row],[Actual]],Table15185[[#This Row],[Actual]],Table15196[[#This Row],[Actual]],Table15207[[#This Row],[Actual]],Table15218[[#This Row],[Actual]],Table15229[[#This Row],[Actual]],Table15240[[#This Row],[Actual]]),"0")</f>
        <v>0</v>
      </c>
      <c r="D61" s="10">
        <f t="shared" si="9"/>
        <v>0</v>
      </c>
      <c r="E61" s="8"/>
      <c r="F61" s="4" t="s">
        <v>67</v>
      </c>
      <c r="G61" s="9">
        <f>SUM(Table14[[#This Row],[Budget]]+Table14140[[#This Row],[Budget]]+Table14151[[#This Row],[Budget]]+Table14162[[#This Row],[Budget]]+Table14261[[#This Row],[Budget]]+Table1463[[#This Row],[Budget]]+Table14184[[#This Row],[Budget]]+Table14195[[#This Row],[Budget]]+Table14206[[#This Row],[Budget]]+Table14217[[#This Row],[Budget]]+Table14228[[#This Row],[Budget]]+Table14239[[#This Row],[Budget]])</f>
        <v>0</v>
      </c>
      <c r="H61" s="40">
        <f>IFERROR(AVERAGE(Table14[[#This Row],[Actual]],Table14140[[#This Row],[Actual]],Table14151[[#This Row],[Actual]],Table14162[[#This Row],[Actual]],Table14261[[#This Row],[Actual]],Table1463[[#This Row],[Actual]],Table14184[[#This Row],[Actual]],Table14195[[#This Row],[Actual]],Table14206[[#This Row],[Actual]],Table14217[[#This Row],[Actual]],Table14228[[#This Row],[Actual]],Table14239[[#This Row],[Actual]]),"0")</f>
        <v>0</v>
      </c>
      <c r="I61" s="10">
        <f t="shared" si="10"/>
        <v>0</v>
      </c>
    </row>
    <row r="62" spans="1:9" x14ac:dyDescent="0.35">
      <c r="A62" s="4" t="s">
        <v>10</v>
      </c>
      <c r="B62" s="14"/>
      <c r="C62" s="41">
        <f>IFERROR(AVERAGE(Table15[[#This Row],[Actual]],Table15141[[#This Row],[Actual]],Table15152[[#This Row],[Actual]],Table15163[[#This Row],[Actual]],Table15262[[#This Row],[Actual]],Table1564[[#This Row],[Actual]],Table15185[[#This Row],[Actual]],Table15185[[#This Row],[Actual]],Table15196[[#This Row],[Actual]],Table15207[[#This Row],[Actual]],Table15218[[#This Row],[Actual]],Table15229[[#This Row],[Actual]],Table15240[[#This Row],[Actual]]),"0")</f>
        <v>0</v>
      </c>
      <c r="D62" s="10">
        <f t="shared" si="9"/>
        <v>0</v>
      </c>
      <c r="E62" s="8"/>
      <c r="F62" s="4" t="s">
        <v>10</v>
      </c>
      <c r="G62" s="14">
        <f>SUM(Table14[[#This Row],[Budget]]+Table14140[[#This Row],[Budget]]+Table14151[[#This Row],[Budget]]+Table14162[[#This Row],[Budget]]+Table14261[[#This Row],[Budget]]+Table1463[[#This Row],[Budget]]+Table14184[[#This Row],[Budget]]+Table14195[[#This Row],[Budget]]+Table14206[[#This Row],[Budget]]+Table14217[[#This Row],[Budget]]+Table14228[[#This Row],[Budget]]+Table14239[[#This Row],[Budget]])</f>
        <v>0</v>
      </c>
      <c r="H62" s="41">
        <f>IFERROR(AVERAGE(Table14[[#This Row],[Actual]],Table14140[[#This Row],[Actual]],Table14151[[#This Row],[Actual]],Table14162[[#This Row],[Actual]],Table14261[[#This Row],[Actual]],Table1463[[#This Row],[Actual]],Table14184[[#This Row],[Actual]],Table14195[[#This Row],[Actual]],Table14206[[#This Row],[Actual]],Table14217[[#This Row],[Actual]],Table14228[[#This Row],[Actual]],Table14239[[#This Row],[Actual]]),"0")</f>
        <v>0</v>
      </c>
      <c r="I62" s="10">
        <f t="shared" si="10"/>
        <v>0</v>
      </c>
    </row>
    <row r="63" spans="1:9" x14ac:dyDescent="0.35">
      <c r="A63" s="37" t="str">
        <f>"Total " &amp; Table1525117[[#Headers],[SUBSCRIPTIONS]]</f>
        <v>Total SUBSCRIPTIONS</v>
      </c>
      <c r="B63" s="38"/>
      <c r="C63" s="38">
        <f>SUBTOTAL(109,Table1525117[Average])</f>
        <v>0</v>
      </c>
      <c r="D63" s="39">
        <f>SUBTOTAL(109,Table1525117[Difference])</f>
        <v>0</v>
      </c>
      <c r="E63" s="8"/>
      <c r="F63" s="37" t="str">
        <f>"Total " &amp; Table1425014[[#Headers],[MISCELLANEOUS]]</f>
        <v>Total MISCELLANEOUS</v>
      </c>
      <c r="G63" s="38">
        <f>SUBTOTAL(109,Table1425014[Budget])</f>
        <v>0</v>
      </c>
      <c r="H63" s="38">
        <f>SUBTOTAL(109,Table1425014[Average])</f>
        <v>0</v>
      </c>
      <c r="I63" s="39">
        <f>SUBTOTAL(109,Table1425014[Difference])</f>
        <v>0</v>
      </c>
    </row>
    <row r="64" spans="1:9" x14ac:dyDescent="0.35">
      <c r="E64" s="8"/>
      <c r="F64" s="7"/>
    </row>
    <row r="65" spans="5:6" x14ac:dyDescent="0.35">
      <c r="E65" s="8"/>
      <c r="F65" s="7"/>
    </row>
    <row r="66" spans="5:6" x14ac:dyDescent="0.35">
      <c r="E66" s="8"/>
      <c r="F66" s="7"/>
    </row>
    <row r="67" spans="5:6" x14ac:dyDescent="0.35">
      <c r="E67" s="8"/>
      <c r="F67" s="7"/>
    </row>
    <row r="68" spans="5:6" x14ac:dyDescent="0.35">
      <c r="E68" s="8"/>
      <c r="F68" s="7"/>
    </row>
    <row r="69" spans="5:6" x14ac:dyDescent="0.35">
      <c r="E69" s="8"/>
      <c r="F69" s="7"/>
    </row>
    <row r="70" spans="5:6" x14ac:dyDescent="0.35">
      <c r="E70" s="8"/>
    </row>
    <row r="71" spans="5:6" x14ac:dyDescent="0.35">
      <c r="E71" s="8"/>
    </row>
    <row r="72" spans="5:6" x14ac:dyDescent="0.35">
      <c r="E72" s="8"/>
      <c r="F72" s="7"/>
    </row>
    <row r="73" spans="5:6" x14ac:dyDescent="0.35">
      <c r="E73" s="8"/>
      <c r="F73" s="7"/>
    </row>
    <row r="74" spans="5:6" x14ac:dyDescent="0.35">
      <c r="E74" s="15"/>
      <c r="F74" s="7"/>
    </row>
    <row r="75" spans="5:6" x14ac:dyDescent="0.35">
      <c r="E75" s="16"/>
      <c r="F75" s="7"/>
    </row>
    <row r="76" spans="5:6" x14ac:dyDescent="0.35">
      <c r="E76" s="16"/>
      <c r="F76" s="7"/>
    </row>
    <row r="77" spans="5:6" x14ac:dyDescent="0.35">
      <c r="E77" s="16"/>
      <c r="F77" s="7"/>
    </row>
    <row r="78" spans="5:6" x14ac:dyDescent="0.35">
      <c r="E78" s="16"/>
      <c r="F78" s="7"/>
    </row>
    <row r="79" spans="5:6" x14ac:dyDescent="0.35">
      <c r="E79" s="8"/>
      <c r="F79" s="7"/>
    </row>
    <row r="80" spans="5:6" x14ac:dyDescent="0.35">
      <c r="E80" s="15"/>
      <c r="F80" s="7"/>
    </row>
    <row r="81" spans="5:6" x14ac:dyDescent="0.35">
      <c r="E81" s="16"/>
      <c r="F81" s="7"/>
    </row>
    <row r="82" spans="5:6" x14ac:dyDescent="0.35">
      <c r="E82" s="16"/>
    </row>
    <row r="83" spans="5:6" x14ac:dyDescent="0.35">
      <c r="E83" s="16"/>
    </row>
    <row r="84" spans="5:6" x14ac:dyDescent="0.35">
      <c r="E84" s="20" t="s">
        <v>48</v>
      </c>
    </row>
    <row r="85" spans="5:6" x14ac:dyDescent="0.35">
      <c r="E85" s="16"/>
    </row>
    <row r="86" spans="5:6" x14ac:dyDescent="0.35">
      <c r="E86" s="16"/>
    </row>
    <row r="87" spans="5:6" x14ac:dyDescent="0.35">
      <c r="E87" s="16"/>
    </row>
    <row r="88" spans="5:6" x14ac:dyDescent="0.35">
      <c r="E88" s="16"/>
    </row>
    <row r="89" spans="5:6" x14ac:dyDescent="0.35">
      <c r="E89" s="16"/>
    </row>
    <row r="90" spans="5:6" x14ac:dyDescent="0.35">
      <c r="E90" s="8"/>
    </row>
    <row r="91" spans="5:6" x14ac:dyDescent="0.35">
      <c r="E91" s="15"/>
    </row>
    <row r="92" spans="5:6" x14ac:dyDescent="0.35">
      <c r="E92" s="7"/>
    </row>
    <row r="93" spans="5:6" x14ac:dyDescent="0.35">
      <c r="E93" s="7"/>
    </row>
    <row r="94" spans="5:6" x14ac:dyDescent="0.35">
      <c r="E94" s="7"/>
    </row>
    <row r="95" spans="5:6" x14ac:dyDescent="0.35">
      <c r="E95" s="7"/>
    </row>
    <row r="96" spans="5:6" x14ac:dyDescent="0.35">
      <c r="E96" s="7"/>
    </row>
    <row r="97" spans="5:5" x14ac:dyDescent="0.35">
      <c r="E97" s="7"/>
    </row>
    <row r="98" spans="5:5" x14ac:dyDescent="0.35">
      <c r="E98" s="7"/>
    </row>
    <row r="99" spans="5:5" x14ac:dyDescent="0.35">
      <c r="E99" s="7"/>
    </row>
    <row r="100" spans="5:5" x14ac:dyDescent="0.35">
      <c r="E100" s="7"/>
    </row>
    <row r="101" spans="5:5" x14ac:dyDescent="0.35">
      <c r="E101" s="7"/>
    </row>
    <row r="122" spans="6:6" x14ac:dyDescent="0.35">
      <c r="F122" s="7"/>
    </row>
    <row r="123" spans="6:6" x14ac:dyDescent="0.35">
      <c r="F123" s="7"/>
    </row>
    <row r="124" spans="6:6" x14ac:dyDescent="0.35">
      <c r="F124" s="7"/>
    </row>
    <row r="125" spans="6:6" x14ac:dyDescent="0.35">
      <c r="F125" s="7"/>
    </row>
    <row r="126" spans="6:6" x14ac:dyDescent="0.35">
      <c r="F126" s="7"/>
    </row>
    <row r="127" spans="6:6" x14ac:dyDescent="0.35">
      <c r="F127" s="7"/>
    </row>
    <row r="128" spans="6:6" x14ac:dyDescent="0.35">
      <c r="F128" s="7"/>
    </row>
    <row r="131" spans="5:6" x14ac:dyDescent="0.35">
      <c r="F131" s="7"/>
    </row>
    <row r="132" spans="5:6" x14ac:dyDescent="0.35">
      <c r="F132" s="7"/>
    </row>
    <row r="133" spans="5:6" x14ac:dyDescent="0.35">
      <c r="F133" s="7"/>
    </row>
    <row r="134" spans="5:6" x14ac:dyDescent="0.35">
      <c r="F134" s="7"/>
    </row>
    <row r="135" spans="5:6" x14ac:dyDescent="0.35">
      <c r="F135" s="7"/>
    </row>
    <row r="136" spans="5:6" x14ac:dyDescent="0.35">
      <c r="F136" s="7"/>
    </row>
    <row r="137" spans="5:6" x14ac:dyDescent="0.35">
      <c r="F137" s="7"/>
    </row>
    <row r="141" spans="5:6" x14ac:dyDescent="0.35">
      <c r="E141" s="6"/>
    </row>
    <row r="142" spans="5:6" x14ac:dyDescent="0.35">
      <c r="E142" s="7"/>
    </row>
    <row r="143" spans="5:6" x14ac:dyDescent="0.35">
      <c r="E143" s="7"/>
    </row>
    <row r="144" spans="5:6" x14ac:dyDescent="0.35">
      <c r="E144" s="7"/>
    </row>
    <row r="145" spans="5:5" x14ac:dyDescent="0.35">
      <c r="E145" s="7"/>
    </row>
    <row r="146" spans="5:5" x14ac:dyDescent="0.35">
      <c r="E146" s="7"/>
    </row>
    <row r="147" spans="5:5" x14ac:dyDescent="0.35">
      <c r="E147" s="7"/>
    </row>
    <row r="148" spans="5:5" x14ac:dyDescent="0.35">
      <c r="E148" s="7"/>
    </row>
    <row r="150" spans="5:5" x14ac:dyDescent="0.35">
      <c r="E150" s="6"/>
    </row>
    <row r="151" spans="5:5" x14ac:dyDescent="0.35">
      <c r="E151" s="7"/>
    </row>
    <row r="152" spans="5:5" x14ac:dyDescent="0.35">
      <c r="E152" s="7"/>
    </row>
    <row r="153" spans="5:5" x14ac:dyDescent="0.35">
      <c r="E153" s="7"/>
    </row>
    <row r="154" spans="5:5" x14ac:dyDescent="0.35">
      <c r="E154" s="7"/>
    </row>
    <row r="155" spans="5:5" x14ac:dyDescent="0.35">
      <c r="E155" s="7"/>
    </row>
    <row r="156" spans="5:5" x14ac:dyDescent="0.35">
      <c r="E156" s="7"/>
    </row>
    <row r="157" spans="5:5" x14ac:dyDescent="0.35">
      <c r="E157" s="7"/>
    </row>
  </sheetData>
  <mergeCells count="1">
    <mergeCell ref="H2:I2"/>
  </mergeCells>
  <conditionalFormatting sqref="D32:D38 D52:D55 D59:D62 D16:D28 I49:I55 D5:D13 D42:D48 I11:I19 I23:I36 I40:I45 I59:I62">
    <cfRule type="cellIs" dxfId="421" priority="4" stopIfTrue="1" operator="lessThan">
      <formula>0</formula>
    </cfRule>
  </conditionalFormatting>
  <conditionalFormatting sqref="I5">
    <cfRule type="expression" dxfId="420" priority="2">
      <formula>IF(,,H5&gt;G5)</formula>
    </cfRule>
  </conditionalFormatting>
  <pageMargins left="0.7" right="0.7" top="0.75" bottom="0.75" header="0.3" footer="0.3"/>
  <pageSetup orientation="portrait" horizontalDpi="4294967293" verticalDpi="4294967293" r:id="rId1"/>
  <tableParts count="11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7"/>
  <sheetViews>
    <sheetView showGridLines="0" topLeftCell="A49" workbookViewId="0">
      <selection activeCell="L29" sqref="L29"/>
    </sheetView>
  </sheetViews>
  <sheetFormatPr defaultColWidth="9" defaultRowHeight="14.4" x14ac:dyDescent="0.35"/>
  <cols>
    <col min="1" max="1" width="25.3984375" style="1" customWidth="1"/>
    <col min="2" max="3" width="9.59765625" style="1" customWidth="1"/>
    <col min="4" max="4" width="12" style="1" customWidth="1"/>
    <col min="5" max="5" width="2.59765625" style="1" customWidth="1"/>
    <col min="6" max="6" width="21.5" style="1" customWidth="1"/>
    <col min="7" max="8" width="9.59765625" style="1" customWidth="1"/>
    <col min="9" max="9" width="11.09765625" style="1" customWidth="1"/>
    <col min="10" max="16384" width="9" style="1"/>
  </cols>
  <sheetData>
    <row r="1" spans="1:9" ht="26.1" customHeight="1" x14ac:dyDescent="0.35">
      <c r="A1" s="34" t="s">
        <v>139</v>
      </c>
      <c r="B1" s="34"/>
      <c r="C1" s="34"/>
      <c r="D1" s="34"/>
      <c r="E1" s="34"/>
      <c r="F1" s="34"/>
      <c r="G1" s="34"/>
      <c r="H1" s="34"/>
      <c r="I1" s="34"/>
    </row>
    <row r="2" spans="1:9" s="2" customFormat="1" ht="13.8" x14ac:dyDescent="0.3">
      <c r="A2" s="35"/>
      <c r="B2" s="33"/>
      <c r="C2" s="33"/>
      <c r="D2" s="33"/>
      <c r="E2" s="31"/>
      <c r="F2" s="31"/>
      <c r="G2" s="32"/>
      <c r="H2" s="47"/>
      <c r="I2" s="47"/>
    </row>
    <row r="3" spans="1:9" s="2" customFormat="1" ht="12" x14ac:dyDescent="0.3">
      <c r="E3" s="3"/>
    </row>
    <row r="4" spans="1:9" x14ac:dyDescent="0.35">
      <c r="A4" s="21" t="s">
        <v>1</v>
      </c>
      <c r="B4" s="22" t="s">
        <v>49</v>
      </c>
      <c r="C4" s="23" t="s">
        <v>0</v>
      </c>
      <c r="D4" s="23" t="s">
        <v>46</v>
      </c>
      <c r="E4" s="18" t="s">
        <v>48</v>
      </c>
      <c r="F4" s="26" t="s">
        <v>51</v>
      </c>
      <c r="G4" s="27" t="s">
        <v>49</v>
      </c>
      <c r="H4" s="27" t="s">
        <v>0</v>
      </c>
      <c r="I4" s="27" t="s">
        <v>46</v>
      </c>
    </row>
    <row r="5" spans="1:9" x14ac:dyDescent="0.35">
      <c r="A5" s="4" t="s">
        <v>7</v>
      </c>
      <c r="B5" s="9">
        <f>SUM(Table2[[#This Row],[Budget]]+Table2135[[#This Row],[Budget]]+Table2146[[#This Row],[Budget]]+Table2157[[#This Row],[Budget]]+Table2255[[#This Row],[Budget]]+Table257[[#This Row],[Budget]]+Table2179[[#This Row],[Budget]]+Table2190[[#This Row],[Budget]]+Table2200[[#This Row],[Budget]]+Table2211[[#This Row],[Budget]]+Table2222[[#This Row],[Budget]]+Table2233[[#This Row],[Budget]])</f>
        <v>0</v>
      </c>
      <c r="C5" s="9">
        <f>SUM(Table2[[#This Row],[Actual]]+Table2135[[#This Row],[Actual]]+Table2146[[#This Row],[Actual]]+Table2157[[#This Row],[Actual]]+Table2255[[#This Row],[Actual]]+Table257[[#This Row],[Actual]]+Table2179[[#This Row],[Actual]]+Table2190[[#This Row],[Actual]]+Table2200[[#This Row],[Actual]]+Table2211[[#This Row],[Actual]]+Table2222[[#This Row],[Actual]]+Table2233[[#This Row],[Actual]])</f>
        <v>0</v>
      </c>
      <c r="D5" s="10">
        <f t="shared" ref="D5:D11" si="0">C5-B5</f>
        <v>0</v>
      </c>
      <c r="E5" s="8"/>
      <c r="F5" s="28" t="s">
        <v>2</v>
      </c>
      <c r="G5" s="25">
        <f>Table2244[[#Totals],[Budget]]</f>
        <v>0</v>
      </c>
      <c r="H5" s="25">
        <f>Table2244[[#Totals],[Actual]]</f>
        <v>0</v>
      </c>
      <c r="I5" s="25">
        <f>G5-H5</f>
        <v>0</v>
      </c>
    </row>
    <row r="6" spans="1:9" ht="15" thickBot="1" x14ac:dyDescent="0.4">
      <c r="A6" s="4" t="s">
        <v>119</v>
      </c>
      <c r="B6" s="9">
        <f>SUM(Table2[[#This Row],[Budget]]+Table2135[[#This Row],[Budget]]+Table2146[[#This Row],[Budget]]+Table2157[[#This Row],[Budget]]+Table2255[[#This Row],[Budget]]+Table257[[#This Row],[Budget]]+Table2179[[#This Row],[Budget]]+Table2190[[#This Row],[Budget]]+Table2200[[#This Row],[Budget]]+Table2211[[#This Row],[Budget]]+Table2222[[#This Row],[Budget]]+Table2233[[#This Row],[Budget]])</f>
        <v>0</v>
      </c>
      <c r="C6" s="9">
        <f>SUM(Table2[[#This Row],[Actual]]+Table2135[[#This Row],[Actual]]+Table2146[[#This Row],[Actual]]+Table2157[[#This Row],[Actual]]+Table2255[[#This Row],[Actual]]+Table257[[#This Row],[Actual]]+Table2179[[#This Row],[Actual]]+Table2190[[#This Row],[Actual]]+Table2200[[#This Row],[Actual]]+Table2211[[#This Row],[Actual]]+Table2222[[#This Row],[Actual]]+Table2233[[#This Row],[Actual]])</f>
        <v>0</v>
      </c>
      <c r="D6" s="10">
        <f t="shared" si="0"/>
        <v>0</v>
      </c>
      <c r="E6" s="8"/>
      <c r="F6" s="28" t="s">
        <v>3</v>
      </c>
      <c r="G6" s="25">
        <f>SUM(,Table5245[[#Totals],[Budget]],Table20253[[#Totals],[Budget]],Table21254[[#Totals],[Budget]],Table19252[[#Totals],[Budget]],Table15251[[#Totals],[Budget]],Table14250[[#Totals],[Budget]],Table10249[[#Totals],[Budget]],Table8248[[#Totals],[Budget]],Table7247[[#Totals],[Budget]],Table6246[[#Totals],[Budget]])</f>
        <v>0</v>
      </c>
      <c r="H6" s="25">
        <f>SUM(Table5245[[#Totals],[Actual]],Table20253[[#Totals],[Actual]],Table21254[[#Totals],[Actual]],Table19252[[#Totals],[Actual]],Table15251[[#Totals],[Actual]],Table14250[[#Totals],[Actual]],Table10249[[#Totals],[Actual]],Table8248[[#Totals],[Actual]],Table7247[[#Totals],[Actual]],Table6246[[#Totals],[Actual]])</f>
        <v>0</v>
      </c>
      <c r="I6" s="25">
        <f>G6-H6</f>
        <v>0</v>
      </c>
    </row>
    <row r="7" spans="1:9" ht="15" thickTop="1" x14ac:dyDescent="0.35">
      <c r="A7" s="4" t="s">
        <v>94</v>
      </c>
      <c r="B7" s="9">
        <f>SUM(Table2[[#This Row],[Budget]]+Table2135[[#This Row],[Budget]]+Table2146[[#This Row],[Budget]]+Table2157[[#This Row],[Budget]]+Table2255[[#This Row],[Budget]]+Table257[[#This Row],[Budget]]+Table2179[[#This Row],[Budget]]+Table2190[[#This Row],[Budget]]+Table2200[[#This Row],[Budget]]+Table2211[[#This Row],[Budget]]+Table2222[[#This Row],[Budget]]+Table2233[[#This Row],[Budget]])</f>
        <v>0</v>
      </c>
      <c r="C7" s="9">
        <f>SUM(Table2[[#This Row],[Actual]]+Table2135[[#This Row],[Actual]]+Table2146[[#This Row],[Actual]]+Table2157[[#This Row],[Actual]]+Table2255[[#This Row],[Actual]]+Table257[[#This Row],[Actual]]+Table2179[[#This Row],[Actual]]+Table2190[[#This Row],[Actual]]+Table2200[[#This Row],[Actual]]+Table2211[[#This Row],[Actual]]+Table2222[[#This Row],[Actual]]+Table2233[[#This Row],[Actual]])</f>
        <v>0</v>
      </c>
      <c r="D7" s="10">
        <f t="shared" si="0"/>
        <v>0</v>
      </c>
      <c r="E7" s="8"/>
      <c r="F7" s="29" t="s">
        <v>4</v>
      </c>
      <c r="G7" s="30">
        <f>G5-G6</f>
        <v>0</v>
      </c>
      <c r="H7" s="30">
        <f>H5-H6</f>
        <v>0</v>
      </c>
      <c r="I7" s="30">
        <f>H7-G7</f>
        <v>0</v>
      </c>
    </row>
    <row r="8" spans="1:9" s="2" customFormat="1" x14ac:dyDescent="0.35">
      <c r="A8" s="4" t="s">
        <v>121</v>
      </c>
      <c r="B8" s="9">
        <f>SUM(Table2[[#This Row],[Budget]]+Table2135[[#This Row],[Budget]]+Table2146[[#This Row],[Budget]]+Table2157[[#This Row],[Budget]]+Table2255[[#This Row],[Budget]]+Table257[[#This Row],[Budget]]+Table2179[[#This Row],[Budget]]+Table2190[[#This Row],[Budget]]+Table2200[[#This Row],[Budget]]+Table2211[[#This Row],[Budget]]+Table2222[[#This Row],[Budget]]+Table2233[[#This Row],[Budget]])</f>
        <v>0</v>
      </c>
      <c r="C8" s="9">
        <f>SUM(Table2[[#This Row],[Actual]]+Table2135[[#This Row],[Actual]]+Table2146[[#This Row],[Actual]]+Table2157[[#This Row],[Actual]]+Table2255[[#This Row],[Actual]]+Table257[[#This Row],[Actual]]+Table2179[[#This Row],[Actual]]+Table2190[[#This Row],[Actual]]+Table2200[[#This Row],[Actual]]+Table2211[[#This Row],[Actual]]+Table2222[[#This Row],[Actual]]+Table2233[[#This Row],[Actual]])</f>
        <v>0</v>
      </c>
      <c r="D8" s="10">
        <f t="shared" si="0"/>
        <v>0</v>
      </c>
      <c r="E8" s="11"/>
      <c r="F8" s="11"/>
      <c r="G8" s="11"/>
      <c r="H8" s="11"/>
      <c r="I8" s="11"/>
    </row>
    <row r="9" spans="1:9" x14ac:dyDescent="0.35">
      <c r="A9" s="4" t="s">
        <v>50</v>
      </c>
      <c r="B9" s="9">
        <f>SUM(Table2[[#This Row],[Budget]]+Table2135[[#This Row],[Budget]]+Table2146[[#This Row],[Budget]]+Table2157[[#This Row],[Budget]]+Table2255[[#This Row],[Budget]]+Table257[[#This Row],[Budget]]+Table2179[[#This Row],[Budget]]+Table2190[[#This Row],[Budget]]+Table2200[[#This Row],[Budget]]+Table2211[[#This Row],[Budget]]+Table2222[[#This Row],[Budget]]+Table2233[[#This Row],[Budget]])</f>
        <v>0</v>
      </c>
      <c r="C9" s="9">
        <f>SUM(Table2[[#This Row],[Actual]]+Table2135[[#This Row],[Actual]]+Table2146[[#This Row],[Actual]]+Table2157[[#This Row],[Actual]]+Table2255[[#This Row],[Actual]]+Table257[[#This Row],[Actual]]+Table2179[[#This Row],[Actual]]+Table2190[[#This Row],[Actual]]+Table2200[[#This Row],[Actual]]+Table2211[[#This Row],[Actual]]+Table2222[[#This Row],[Actual]]+Table2233[[#This Row],[Actual]])</f>
        <v>0</v>
      </c>
      <c r="D9" s="10">
        <f t="shared" si="0"/>
        <v>0</v>
      </c>
      <c r="E9" s="8"/>
      <c r="F9" s="11"/>
      <c r="G9" s="11"/>
      <c r="H9" s="11"/>
      <c r="I9" s="11"/>
    </row>
    <row r="10" spans="1:9" x14ac:dyDescent="0.35">
      <c r="A10" s="4" t="s">
        <v>47</v>
      </c>
      <c r="B10" s="9">
        <f>SUM(Table2[[#This Row],[Budget]]+Table2135[[#This Row],[Budget]]+Table2146[[#This Row],[Budget]]+Table2157[[#This Row],[Budget]]+Table2255[[#This Row],[Budget]]+Table257[[#This Row],[Budget]]+Table2179[[#This Row],[Budget]]+Table2190[[#This Row],[Budget]]+Table2200[[#This Row],[Budget]]+Table2211[[#This Row],[Budget]]+Table2222[[#This Row],[Budget]]+Table2233[[#This Row],[Budget]])</f>
        <v>0</v>
      </c>
      <c r="C10" s="9">
        <f>SUM(Table2[[#This Row],[Actual]]+Table2135[[#This Row],[Actual]]+Table2146[[#This Row],[Actual]]+Table2157[[#This Row],[Actual]]+Table2255[[#This Row],[Actual]]+Table257[[#This Row],[Actual]]+Table2179[[#This Row],[Actual]]+Table2190[[#This Row],[Actual]]+Table2200[[#This Row],[Actual]]+Table2211[[#This Row],[Actual]]+Table2222[[#This Row],[Actual]]+Table2233[[#This Row],[Actual]])</f>
        <v>0</v>
      </c>
      <c r="D10" s="10">
        <f t="shared" si="0"/>
        <v>0</v>
      </c>
      <c r="E10" s="8"/>
      <c r="F10" s="21" t="s">
        <v>26</v>
      </c>
      <c r="G10" s="22" t="s">
        <v>49</v>
      </c>
      <c r="H10" s="23" t="s">
        <v>0</v>
      </c>
      <c r="I10" s="23" t="s">
        <v>46</v>
      </c>
    </row>
    <row r="11" spans="1:9" x14ac:dyDescent="0.35">
      <c r="A11" s="4" t="s">
        <v>10</v>
      </c>
      <c r="B11" s="9">
        <f>SUM(Table2[[#This Row],[Budget]]+Table2135[[#This Row],[Budget]]+Table2146[[#This Row],[Budget]]+Table2157[[#This Row],[Budget]]+Table2255[[#This Row],[Budget]]+Table257[[#This Row],[Budget]]+Table2179[[#This Row],[Budget]]+Table2190[[#This Row],[Budget]]+Table2200[[#This Row],[Budget]]+Table2211[[#This Row],[Budget]]+Table2222[[#This Row],[Budget]]+Table2233[[#This Row],[Budget]])</f>
        <v>0</v>
      </c>
      <c r="C11" s="9">
        <f>SUM(Table2[[#This Row],[Actual]]+Table2135[[#This Row],[Actual]]+Table2146[[#This Row],[Actual]]+Table2157[[#This Row],[Actual]]+Table2255[[#This Row],[Actual]]+Table257[[#This Row],[Actual]]+Table2179[[#This Row],[Actual]]+Table2190[[#This Row],[Actual]]+Table2200[[#This Row],[Actual]]+Table2211[[#This Row],[Actual]]+Table2222[[#This Row],[Actual]]+Table2233[[#This Row],[Actual]])</f>
        <v>0</v>
      </c>
      <c r="D11" s="10">
        <f t="shared" si="0"/>
        <v>0</v>
      </c>
      <c r="E11" s="8"/>
      <c r="F11" s="4" t="s">
        <v>5</v>
      </c>
      <c r="G11" s="14">
        <f>SUM(Table6[[#This Row],[Budget]]+Table6136[[#This Row],[Budget]]+Table6147[[#This Row],[Budget]]+Table6158[[#This Row],[Budget]]+Table6257[[#This Row],[Budget]]+Table659[[#This Row],[Budget]]+Table6180[[#This Row],[Budget]]+Table6191[[#This Row],[Budget]]+Table6202[[#This Row],[Budget]]+Table6213[[#This Row],[Budget]]+Table6224[[#This Row],[Budget]]+Table6235[[#This Row],[Budget]])</f>
        <v>0</v>
      </c>
      <c r="H11" s="14">
        <f>SUM(Table6[[#This Row],[Actual]]+Table6136[[#This Row],[Actual]]+Table6147[[#This Row],[Actual]]+Table6158[[#This Row],[Actual]]+Table6257[[#This Row],[Actual]]+Table659[[#This Row],[Actual]]+Table6180[[#This Row],[Actual]]+Table6191[[#This Row],[Actual]]+Table6202[[#This Row],[Actual]]+Table6213[[#This Row],[Actual]]+Table6224[[#This Row],[Actual]]+Table6235[[#This Row],[Actual]])</f>
        <v>0</v>
      </c>
      <c r="I11" s="10">
        <f t="shared" ref="I11:I19" si="1">G11-H11</f>
        <v>0</v>
      </c>
    </row>
    <row r="12" spans="1:9" x14ac:dyDescent="0.35">
      <c r="A12" s="4" t="s">
        <v>77</v>
      </c>
      <c r="B12" s="9">
        <f>SUM(Table2[[#This Row],[Budget]]+Table2135[[#This Row],[Budget]]+Table2146[[#This Row],[Budget]]+Table2157[[#This Row],[Budget]]+Table2255[[#This Row],[Budget]]+Table257[[#This Row],[Budget]]+Table2179[[#This Row],[Budget]]+Table2190[[#This Row],[Budget]]+Table2200[[#This Row],[Budget]]+Table2211[[#This Row],[Budget]]+Table2222[[#This Row],[Budget]]+Table2233[[#This Row],[Budget]])</f>
        <v>0</v>
      </c>
      <c r="C12" s="12">
        <f>SUM(Table2[[#This Row],[Actual]]+Table2135[[#This Row],[Actual]]+Table2146[[#This Row],[Actual]]+Table2157[[#This Row],[Actual]]+Table2255[[#This Row],[Actual]]+Table257[[#This Row],[Actual]]+Table2179[[#This Row],[Actual]]+Table2190[[#This Row],[Actual]]+Table2200[[#This Row],[Actual]]+Table2211[[#This Row],[Actual]]+Table2222[[#This Row],[Actual]]+Table2233[[#This Row],[Actual]])</f>
        <v>0</v>
      </c>
      <c r="D12" s="10">
        <f>C12-B12</f>
        <v>0</v>
      </c>
      <c r="E12" s="8"/>
      <c r="F12" s="4" t="s">
        <v>69</v>
      </c>
      <c r="G12" s="14">
        <f>SUM(Table6[[#This Row],[Budget]]+Table6136[[#This Row],[Budget]]+Table6147[[#This Row],[Budget]]+Table6158[[#This Row],[Budget]]+Table6257[[#This Row],[Budget]]+Table659[[#This Row],[Budget]]+Table6180[[#This Row],[Budget]]+Table6191[[#This Row],[Budget]]+Table6202[[#This Row],[Budget]]+Table6213[[#This Row],[Budget]]+Table6224[[#This Row],[Budget]]+Table6235[[#This Row],[Budget]])</f>
        <v>0</v>
      </c>
      <c r="H12" s="14">
        <f>SUM(Table6[[#This Row],[Actual]]+Table6136[[#This Row],[Actual]]+Table6147[[#This Row],[Actual]]+Table6158[[#This Row],[Actual]]+Table6257[[#This Row],[Actual]]+Table659[[#This Row],[Actual]]+Table6180[[#This Row],[Actual]]+Table6191[[#This Row],[Actual]]+Table6202[[#This Row],[Actual]]+Table6213[[#This Row],[Actual]]+Table6224[[#This Row],[Actual]]+Table6235[[#This Row],[Actual]])</f>
        <v>0</v>
      </c>
      <c r="I12" s="10">
        <f t="shared" si="1"/>
        <v>0</v>
      </c>
    </row>
    <row r="13" spans="1:9" x14ac:dyDescent="0.35">
      <c r="A13" s="37" t="str">
        <f>"Total " &amp; Table2244[[#Headers],[INCOME]]</f>
        <v>Total INCOME</v>
      </c>
      <c r="B13" s="38">
        <f>SUBTOTAL(109,Table2244[Budget])</f>
        <v>0</v>
      </c>
      <c r="C13" s="38">
        <f>SUBTOTAL(109,Table2244[Actual])</f>
        <v>0</v>
      </c>
      <c r="D13" s="39">
        <f>SUBTOTAL(109,Table2244[Difference])</f>
        <v>0</v>
      </c>
      <c r="E13" s="8"/>
      <c r="F13" s="4" t="s">
        <v>92</v>
      </c>
      <c r="G13" s="14">
        <f>SUM(Table6[[#This Row],[Budget]]+Table6136[[#This Row],[Budget]]+Table6147[[#This Row],[Budget]]+Table6158[[#This Row],[Budget]]+Table6257[[#This Row],[Budget]]+Table659[[#This Row],[Budget]]+Table6180[[#This Row],[Budget]]+Table6191[[#This Row],[Budget]]+Table6202[[#This Row],[Budget]]+Table6213[[#This Row],[Budget]]+Table6224[[#This Row],[Budget]]+Table6235[[#This Row],[Budget]])</f>
        <v>0</v>
      </c>
      <c r="H13" s="14">
        <f>SUM(Table6[[#This Row],[Actual]]+Table6136[[#This Row],[Actual]]+Table6147[[#This Row],[Actual]]+Table6158[[#This Row],[Actual]]+Table6257[[#This Row],[Actual]]+Table659[[#This Row],[Actual]]+Table6180[[#This Row],[Actual]]+Table6191[[#This Row],[Actual]]+Table6202[[#This Row],[Actual]]+Table6213[[#This Row],[Actual]]+Table6224[[#This Row],[Actual]]+Table6235[[#This Row],[Actual]])</f>
        <v>0</v>
      </c>
      <c r="I13" s="10">
        <f t="shared" si="1"/>
        <v>0</v>
      </c>
    </row>
    <row r="14" spans="1:9" x14ac:dyDescent="0.35">
      <c r="A14" s="8"/>
      <c r="B14" s="8"/>
      <c r="C14" s="8"/>
      <c r="D14" s="8"/>
      <c r="E14" s="8"/>
      <c r="F14" s="4" t="s">
        <v>57</v>
      </c>
      <c r="G14" s="14">
        <f>SUM(Table6[[#This Row],[Budget]]+Table6136[[#This Row],[Budget]]+Table6147[[#This Row],[Budget]]+Table6158[[#This Row],[Budget]]+Table6257[[#This Row],[Budget]]+Table659[[#This Row],[Budget]]+Table6180[[#This Row],[Budget]]+Table6191[[#This Row],[Budget]]+Table6202[[#This Row],[Budget]]+Table6213[[#This Row],[Budget]]+Table6224[[#This Row],[Budget]]+Table6235[[#This Row],[Budget]])</f>
        <v>0</v>
      </c>
      <c r="H14" s="14">
        <f>SUM(Table6[[#This Row],[Actual]]+Table6136[[#This Row],[Actual]]+Table6147[[#This Row],[Actual]]+Table6158[[#This Row],[Actual]]+Table6257[[#This Row],[Actual]]+Table659[[#This Row],[Actual]]+Table6180[[#This Row],[Actual]]+Table6191[[#This Row],[Actual]]+Table6202[[#This Row],[Actual]]+Table6213[[#This Row],[Actual]]+Table6224[[#This Row],[Actual]]+Table6235[[#This Row],[Actual]])</f>
        <v>0</v>
      </c>
      <c r="I14" s="10">
        <f t="shared" si="1"/>
        <v>0</v>
      </c>
    </row>
    <row r="15" spans="1:9" x14ac:dyDescent="0.35">
      <c r="A15" s="21" t="s">
        <v>9</v>
      </c>
      <c r="B15" s="22" t="s">
        <v>49</v>
      </c>
      <c r="C15" s="23" t="s">
        <v>0</v>
      </c>
      <c r="D15" s="23" t="s">
        <v>46</v>
      </c>
      <c r="E15" s="8"/>
      <c r="F15" s="4" t="s">
        <v>58</v>
      </c>
      <c r="G15" s="14">
        <f>SUM(Table6[[#This Row],[Budget]]+Table6136[[#This Row],[Budget]]+Table6147[[#This Row],[Budget]]+Table6158[[#This Row],[Budget]]+Table6257[[#This Row],[Budget]]+Table659[[#This Row],[Budget]]+Table6180[[#This Row],[Budget]]+Table6191[[#This Row],[Budget]]+Table6202[[#This Row],[Budget]]+Table6213[[#This Row],[Budget]]+Table6224[[#This Row],[Budget]]+Table6235[[#This Row],[Budget]])</f>
        <v>0</v>
      </c>
      <c r="H15" s="14">
        <f>SUM(Table6[[#This Row],[Actual]]+Table6136[[#This Row],[Actual]]+Table6147[[#This Row],[Actual]]+Table6158[[#This Row],[Actual]]+Table6257[[#This Row],[Actual]]+Table659[[#This Row],[Actual]]+Table6180[[#This Row],[Actual]]+Table6191[[#This Row],[Actual]]+Table6202[[#This Row],[Actual]]+Table6213[[#This Row],[Actual]]+Table6224[[#This Row],[Actual]]+Table6235[[#This Row],[Actual]])</f>
        <v>0</v>
      </c>
      <c r="I15" s="10">
        <f t="shared" si="1"/>
        <v>0</v>
      </c>
    </row>
    <row r="16" spans="1:9" x14ac:dyDescent="0.35">
      <c r="A16" s="4" t="s">
        <v>63</v>
      </c>
      <c r="B16" s="9">
        <f>SUM(Table5[[#This Row],[Budget]]+Table5135[[#This Row],[Budget]]+Table5146[[#This Row],[Budget]]+Table5157[[#This Row],[Budget]]+Table5256[[#This Row],[Budget]]+Table558[[#This Row],[Budget]]+Table5179[[#This Row],[Budget]]+Table5190[[#This Row],[Budget]]+Table5201[[#This Row],[Budget]]+Table5212[[#This Row],[Budget]]+Table5223[[#This Row],[Budget]]+Table5234[[#This Row],[Budget]])</f>
        <v>0</v>
      </c>
      <c r="C16" s="9">
        <f>SUM(Table5[[#This Row],[Actual]]+Table5135[[#This Row],[Actual]]+Table5146[[#This Row],[Actual]]+Table5157[[#This Row],[Actual]]+Table5256[[#This Row],[Actual]]+Table558[[#This Row],[Actual]]+Table5179[[#This Row],[Actual]]+Table5190[[#This Row],[Actual]]+Table5201[[#This Row],[Actual]]+Table5212[[#This Row],[Actual]]+Table5223[[#This Row],[Actual]]+Table5234[[#This Row],[Actual]])</f>
        <v>0</v>
      </c>
      <c r="D16" s="10">
        <f>B16-C16</f>
        <v>0</v>
      </c>
      <c r="E16" s="8"/>
      <c r="F16" s="4" t="s">
        <v>40</v>
      </c>
      <c r="G16" s="14">
        <f>SUM(Table6[[#This Row],[Budget]]+Table6136[[#This Row],[Budget]]+Table6147[[#This Row],[Budget]]+Table6158[[#This Row],[Budget]]+Table6257[[#This Row],[Budget]]+Table659[[#This Row],[Budget]]+Table6180[[#This Row],[Budget]]+Table6191[[#This Row],[Budget]]+Table6202[[#This Row],[Budget]]+Table6213[[#This Row],[Budget]]+Table6224[[#This Row],[Budget]]+Table6235[[#This Row],[Budget]])</f>
        <v>0</v>
      </c>
      <c r="H16" s="14">
        <f>SUM(Table6[[#This Row],[Actual]]+Table6136[[#This Row],[Actual]]+Table6147[[#This Row],[Actual]]+Table6158[[#This Row],[Actual]]+Table6257[[#This Row],[Actual]]+Table659[[#This Row],[Actual]]+Table6180[[#This Row],[Actual]]+Table6191[[#This Row],[Actual]]+Table6202[[#This Row],[Actual]]+Table6213[[#This Row],[Actual]]+Table6224[[#This Row],[Actual]]+Table6235[[#This Row],[Actual]])</f>
        <v>0</v>
      </c>
      <c r="I16" s="10">
        <f t="shared" si="1"/>
        <v>0</v>
      </c>
    </row>
    <row r="17" spans="1:9" x14ac:dyDescent="0.35">
      <c r="A17" s="4" t="s">
        <v>66</v>
      </c>
      <c r="B17" s="9">
        <f>SUM(Table5[[#This Row],[Budget]]+Table5135[[#This Row],[Budget]]+Table5146[[#This Row],[Budget]]+Table5157[[#This Row],[Budget]]+Table5256[[#This Row],[Budget]]+Table558[[#This Row],[Budget]]+Table5179[[#This Row],[Budget]]+Table5190[[#This Row],[Budget]]+Table5201[[#This Row],[Budget]]+Table5212[[#This Row],[Budget]]+Table5223[[#This Row],[Budget]]+Table5234[[#This Row],[Budget]])</f>
        <v>0</v>
      </c>
      <c r="C17" s="9">
        <f>SUM(Table5[[#This Row],[Actual]]+Table5135[[#This Row],[Actual]]+Table5146[[#This Row],[Actual]]+Table5157[[#This Row],[Actual]]+Table5256[[#This Row],[Actual]]+Table558[[#This Row],[Actual]]+Table5179[[#This Row],[Actual]]+Table5190[[#This Row],[Actual]]+Table5201[[#This Row],[Actual]]+Table5212[[#This Row],[Actual]]+Table5223[[#This Row],[Actual]]+Table5234[[#This Row],[Actual]])</f>
        <v>0</v>
      </c>
      <c r="D17" s="10">
        <f t="shared" ref="D17:D28" si="2">B17-C17</f>
        <v>0</v>
      </c>
      <c r="E17" s="8"/>
      <c r="F17" s="4" t="s">
        <v>71</v>
      </c>
      <c r="G17" s="14">
        <f>SUM(Table6[[#This Row],[Budget]]+Table6136[[#This Row],[Budget]]+Table6147[[#This Row],[Budget]]+Table6158[[#This Row],[Budget]]+Table6257[[#This Row],[Budget]]+Table659[[#This Row],[Budget]]+Table6180[[#This Row],[Budget]]+Table6191[[#This Row],[Budget]]+Table6202[[#This Row],[Budget]]+Table6213[[#This Row],[Budget]]+Table6224[[#This Row],[Budget]]+Table6235[[#This Row],[Budget]])</f>
        <v>0</v>
      </c>
      <c r="H17" s="14">
        <f>SUM(Table6[[#This Row],[Actual]]+Table6136[[#This Row],[Actual]]+Table6147[[#This Row],[Actual]]+Table6158[[#This Row],[Actual]]+Table6257[[#This Row],[Actual]]+Table659[[#This Row],[Actual]]+Table6180[[#This Row],[Actual]]+Table6191[[#This Row],[Actual]]+Table6202[[#This Row],[Actual]]+Table6213[[#This Row],[Actual]]+Table6224[[#This Row],[Actual]]+Table6235[[#This Row],[Actual]])</f>
        <v>0</v>
      </c>
      <c r="I17" s="10">
        <f t="shared" si="1"/>
        <v>0</v>
      </c>
    </row>
    <row r="18" spans="1:9" x14ac:dyDescent="0.35">
      <c r="A18" s="4" t="s">
        <v>62</v>
      </c>
      <c r="B18" s="9">
        <f>SUM(Table5[[#This Row],[Budget]]+Table5135[[#This Row],[Budget]]+Table5146[[#This Row],[Budget]]+Table5157[[#This Row],[Budget]]+Table5256[[#This Row],[Budget]]+Table558[[#This Row],[Budget]]+Table5179[[#This Row],[Budget]]+Table5190[[#This Row],[Budget]]+Table5201[[#This Row],[Budget]]+Table5212[[#This Row],[Budget]]+Table5223[[#This Row],[Budget]]+Table5234[[#This Row],[Budget]])</f>
        <v>0</v>
      </c>
      <c r="C18" s="9">
        <f>SUM(Table5[[#This Row],[Actual]]+Table5135[[#This Row],[Actual]]+Table5146[[#This Row],[Actual]]+Table5157[[#This Row],[Actual]]+Table5256[[#This Row],[Actual]]+Table558[[#This Row],[Actual]]+Table5179[[#This Row],[Actual]]+Table5190[[#This Row],[Actual]]+Table5201[[#This Row],[Actual]]+Table5212[[#This Row],[Actual]]+Table5223[[#This Row],[Actual]]+Table5234[[#This Row],[Actual]])</f>
        <v>0</v>
      </c>
      <c r="D18" s="10">
        <f t="shared" si="2"/>
        <v>0</v>
      </c>
      <c r="E18" s="8"/>
      <c r="F18" s="4" t="s">
        <v>74</v>
      </c>
      <c r="G18" s="14">
        <f>SUM(Table6[[#This Row],[Budget]]+Table6136[[#This Row],[Budget]]+Table6147[[#This Row],[Budget]]+Table6158[[#This Row],[Budget]]+Table6257[[#This Row],[Budget]]+Table659[[#This Row],[Budget]]+Table6180[[#This Row],[Budget]]+Table6191[[#This Row],[Budget]]+Table6202[[#This Row],[Budget]]+Table6213[[#This Row],[Budget]]+Table6224[[#This Row],[Budget]]+Table6235[[#This Row],[Budget]])</f>
        <v>0</v>
      </c>
      <c r="H18" s="14">
        <f>SUM(Table6[[#This Row],[Actual]]+Table6136[[#This Row],[Actual]]+Table6147[[#This Row],[Actual]]+Table6158[[#This Row],[Actual]]+Table6257[[#This Row],[Actual]]+Table659[[#This Row],[Actual]]+Table6180[[#This Row],[Actual]]+Table6191[[#This Row],[Actual]]+Table6202[[#This Row],[Actual]]+Table6213[[#This Row],[Actual]]+Table6224[[#This Row],[Actual]]+Table6235[[#This Row],[Actual]])</f>
        <v>0</v>
      </c>
      <c r="I18" s="10">
        <f t="shared" si="1"/>
        <v>0</v>
      </c>
    </row>
    <row r="19" spans="1:9" x14ac:dyDescent="0.35">
      <c r="A19" s="4" t="s">
        <v>61</v>
      </c>
      <c r="B19" s="9">
        <f>SUM(Table5[[#This Row],[Budget]]+Table5135[[#This Row],[Budget]]+Table5146[[#This Row],[Budget]]+Table5157[[#This Row],[Budget]]+Table5256[[#This Row],[Budget]]+Table558[[#This Row],[Budget]]+Table5179[[#This Row],[Budget]]+Table5190[[#This Row],[Budget]]+Table5201[[#This Row],[Budget]]+Table5212[[#This Row],[Budget]]+Table5223[[#This Row],[Budget]]+Table5234[[#This Row],[Budget]])</f>
        <v>0</v>
      </c>
      <c r="C19" s="9">
        <f>SUM(Table5[[#This Row],[Actual]]+Table5135[[#This Row],[Actual]]+Table5146[[#This Row],[Actual]]+Table5157[[#This Row],[Actual]]+Table5256[[#This Row],[Actual]]+Table558[[#This Row],[Actual]]+Table5179[[#This Row],[Actual]]+Table5190[[#This Row],[Actual]]+Table5201[[#This Row],[Actual]]+Table5212[[#This Row],[Actual]]+Table5223[[#This Row],[Actual]]+Table5234[[#This Row],[Actual]])</f>
        <v>0</v>
      </c>
      <c r="D19" s="10">
        <f t="shared" si="2"/>
        <v>0</v>
      </c>
      <c r="E19" s="8"/>
      <c r="F19" s="4" t="s">
        <v>70</v>
      </c>
      <c r="G19" s="14">
        <f>SUM(Table6[[#This Row],[Budget]]+Table6136[[#This Row],[Budget]]+Table6147[[#This Row],[Budget]]+Table6158[[#This Row],[Budget]]+Table6257[[#This Row],[Budget]]+Table659[[#This Row],[Budget]]+Table6180[[#This Row],[Budget]]+Table6191[[#This Row],[Budget]]+Table6202[[#This Row],[Budget]]+Table6213[[#This Row],[Budget]]+Table6224[[#This Row],[Budget]]+Table6235[[#This Row],[Budget]])</f>
        <v>0</v>
      </c>
      <c r="H19" s="14">
        <f>SUM(Table6[[#This Row],[Actual]]+Table6136[[#This Row],[Actual]]+Table6147[[#This Row],[Actual]]+Table6158[[#This Row],[Actual]]+Table6257[[#This Row],[Actual]]+Table659[[#This Row],[Actual]]+Table6180[[#This Row],[Actual]]+Table6191[[#This Row],[Actual]]+Table6202[[#This Row],[Actual]]+Table6213[[#This Row],[Actual]]+Table6224[[#This Row],[Actual]]+Table6235[[#This Row],[Actual]])</f>
        <v>0</v>
      </c>
      <c r="I19" s="10">
        <f t="shared" si="1"/>
        <v>0</v>
      </c>
    </row>
    <row r="20" spans="1:9" s="5" customFormat="1" x14ac:dyDescent="0.35">
      <c r="A20" s="4" t="s">
        <v>64</v>
      </c>
      <c r="B20" s="9">
        <f>SUM(Table5[[#This Row],[Budget]]+Table5135[[#This Row],[Budget]]+Table5146[[#This Row],[Budget]]+Table5157[[#This Row],[Budget]]+Table5256[[#This Row],[Budget]]+Table558[[#This Row],[Budget]]+Table5179[[#This Row],[Budget]]+Table5190[[#This Row],[Budget]]+Table5201[[#This Row],[Budget]]+Table5212[[#This Row],[Budget]]+Table5223[[#This Row],[Budget]]+Table5234[[#This Row],[Budget]])</f>
        <v>0</v>
      </c>
      <c r="C20" s="9">
        <f>SUM(Table5[[#This Row],[Actual]]+Table5135[[#This Row],[Actual]]+Table5146[[#This Row],[Actual]]+Table5157[[#This Row],[Actual]]+Table5256[[#This Row],[Actual]]+Table558[[#This Row],[Actual]]+Table5179[[#This Row],[Actual]]+Table5190[[#This Row],[Actual]]+Table5201[[#This Row],[Actual]]+Table5212[[#This Row],[Actual]]+Table5223[[#This Row],[Actual]]+Table5234[[#This Row],[Actual]])</f>
        <v>0</v>
      </c>
      <c r="D20" s="10">
        <f t="shared" si="2"/>
        <v>0</v>
      </c>
      <c r="E20" s="8"/>
      <c r="F20" s="37" t="str">
        <f>"Total " &amp; Table6246[[#Headers],[DAILY LIVING]]</f>
        <v>Total DAILY LIVING</v>
      </c>
      <c r="G20" s="38">
        <f>SUBTOTAL(109,Table6246[Budget])</f>
        <v>0</v>
      </c>
      <c r="H20" s="38">
        <f>SUBTOTAL(109,Table6246[Actual])</f>
        <v>0</v>
      </c>
      <c r="I20" s="39">
        <f>SUBTOTAL(109,Table6246[Difference])</f>
        <v>0</v>
      </c>
    </row>
    <row r="21" spans="1:9" x14ac:dyDescent="0.35">
      <c r="A21" s="4" t="s">
        <v>118</v>
      </c>
      <c r="B21" s="9">
        <f>SUM(Table5[[#This Row],[Budget]]+Table5135[[#This Row],[Budget]]+Table5146[[#This Row],[Budget]]+Table5157[[#This Row],[Budget]]+Table5256[[#This Row],[Budget]]+Table558[[#This Row],[Budget]]+Table5179[[#This Row],[Budget]]+Table5190[[#This Row],[Budget]]+Table5201[[#This Row],[Budget]]+Table5212[[#This Row],[Budget]]+Table5223[[#This Row],[Budget]]+Table5234[[#This Row],[Budget]])</f>
        <v>0</v>
      </c>
      <c r="C21" s="9">
        <f>SUM(Table5[[#This Row],[Actual]]+Table5135[[#This Row],[Actual]]+Table5146[[#This Row],[Actual]]+Table5157[[#This Row],[Actual]]+Table5256[[#This Row],[Actual]]+Table558[[#This Row],[Actual]]+Table5179[[#This Row],[Actual]]+Table5190[[#This Row],[Actual]]+Table5201[[#This Row],[Actual]]+Table5212[[#This Row],[Actual]]+Table5223[[#This Row],[Actual]]+Table5234[[#This Row],[Actual]])</f>
        <v>0</v>
      </c>
      <c r="D21" s="10">
        <f t="shared" si="2"/>
        <v>0</v>
      </c>
      <c r="E21" s="8"/>
      <c r="F21" s="8"/>
      <c r="G21" s="17"/>
      <c r="H21" s="17"/>
      <c r="I21" s="17"/>
    </row>
    <row r="22" spans="1:9" x14ac:dyDescent="0.35">
      <c r="A22" s="4" t="s">
        <v>39</v>
      </c>
      <c r="B22" s="9">
        <f>SUM(Table5[[#This Row],[Budget]]+Table5135[[#This Row],[Budget]]+Table5146[[#This Row],[Budget]]+Table5157[[#This Row],[Budget]]+Table5256[[#This Row],[Budget]]+Table558[[#This Row],[Budget]]+Table5179[[#This Row],[Budget]]+Table5190[[#This Row],[Budget]]+Table5201[[#This Row],[Budget]]+Table5212[[#This Row],[Budget]]+Table5223[[#This Row],[Budget]]+Table5234[[#This Row],[Budget]])</f>
        <v>0</v>
      </c>
      <c r="C22" s="9">
        <f>SUM(Table5[[#This Row],[Actual]]+Table5135[[#This Row],[Actual]]+Table5146[[#This Row],[Actual]]+Table5157[[#This Row],[Actual]]+Table5256[[#This Row],[Actual]]+Table558[[#This Row],[Actual]]+Table5179[[#This Row],[Actual]]+Table5190[[#This Row],[Actual]]+Table5201[[#This Row],[Actual]]+Table5212[[#This Row],[Actual]]+Table5223[[#This Row],[Actual]]+Table5234[[#This Row],[Actual]])</f>
        <v>0</v>
      </c>
      <c r="D22" s="10">
        <f t="shared" si="2"/>
        <v>0</v>
      </c>
      <c r="E22" s="8"/>
      <c r="F22" s="21" t="s">
        <v>78</v>
      </c>
      <c r="G22" s="22" t="s">
        <v>49</v>
      </c>
      <c r="H22" s="23" t="s">
        <v>0</v>
      </c>
      <c r="I22" s="23" t="s">
        <v>46</v>
      </c>
    </row>
    <row r="23" spans="1:9" x14ac:dyDescent="0.35">
      <c r="A23" s="4" t="s">
        <v>65</v>
      </c>
      <c r="B23" s="9">
        <f>SUM(Table5[[#This Row],[Budget]]+Table5135[[#This Row],[Budget]]+Table5146[[#This Row],[Budget]]+Table5157[[#This Row],[Budget]]+Table5256[[#This Row],[Budget]]+Table558[[#This Row],[Budget]]+Table5179[[#This Row],[Budget]]+Table5190[[#This Row],[Budget]]+Table5201[[#This Row],[Budget]]+Table5212[[#This Row],[Budget]]+Table5223[[#This Row],[Budget]]+Table5234[[#This Row],[Budget]])</f>
        <v>0</v>
      </c>
      <c r="C23" s="9">
        <f>SUM(Table5[[#This Row],[Actual]]+Table5135[[#This Row],[Actual]]+Table5146[[#This Row],[Actual]]+Table5157[[#This Row],[Actual]]+Table5256[[#This Row],[Actual]]+Table558[[#This Row],[Actual]]+Table5179[[#This Row],[Actual]]+Table5190[[#This Row],[Actual]]+Table5201[[#This Row],[Actual]]+Table5212[[#This Row],[Actual]]+Table5223[[#This Row],[Actual]]+Table5234[[#This Row],[Actual]])</f>
        <v>0</v>
      </c>
      <c r="D23" s="10">
        <f t="shared" si="2"/>
        <v>0</v>
      </c>
      <c r="E23" s="8"/>
      <c r="F23" s="4" t="s">
        <v>93</v>
      </c>
      <c r="G23" s="14">
        <f>SUM(Table7[[#This Row],[Budget]]+Table7137[[#This Row],[Budget]]+Table7148[[#This Row],[Budget]]+Table7159[[#This Row],[Budget]]+Table7258[[#This Row],[Budget]]+Table760[[#This Row],[Budget]]+Table7181[[#This Row],[Budget]]+Table7192[[#This Row],[Budget]]+Table7203[[#This Row],[Budget]]+Table7214[[#This Row],[Budget]]+Table7225[[#This Row],[Budget]]+Table7236[[#This Row],[Budget]])</f>
        <v>0</v>
      </c>
      <c r="H23" s="14">
        <f>SUM(Table7[[#This Row],[Actual]]+Table7137[[#This Row],[Actual]]+Table7148[[#This Row],[Actual]]+Table7159[[#This Row],[Actual]]+Table7258[[#This Row],[Actual]]+Table760[[#This Row],[Actual]]+Table7181[[#This Row],[Actual]]+Table7192[[#This Row],[Actual]]+Table7203[[#This Row],[Actual]]+Table7214[[#This Row],[Actual]]+Table7225[[#This Row],[Actual]]+Table7236[[#This Row],[Actual]])</f>
        <v>0</v>
      </c>
      <c r="I23" s="10">
        <f t="shared" ref="I23:I36" si="3">G23-H23</f>
        <v>0</v>
      </c>
    </row>
    <row r="24" spans="1:9" x14ac:dyDescent="0.35">
      <c r="A24" s="4" t="s">
        <v>38</v>
      </c>
      <c r="B24" s="9">
        <f>SUM(Table5[[#This Row],[Budget]]+Table5135[[#This Row],[Budget]]+Table5146[[#This Row],[Budget]]+Table5157[[#This Row],[Budget]]+Table5256[[#This Row],[Budget]]+Table558[[#This Row],[Budget]]+Table5179[[#This Row],[Budget]]+Table5190[[#This Row],[Budget]]+Table5201[[#This Row],[Budget]]+Table5212[[#This Row],[Budget]]+Table5223[[#This Row],[Budget]]+Table5234[[#This Row],[Budget]])</f>
        <v>0</v>
      </c>
      <c r="C24" s="9">
        <f>SUM(Table5[[#This Row],[Actual]]+Table5135[[#This Row],[Actual]]+Table5146[[#This Row],[Actual]]+Table5157[[#This Row],[Actual]]+Table5256[[#This Row],[Actual]]+Table558[[#This Row],[Actual]]+Table5179[[#This Row],[Actual]]+Table5190[[#This Row],[Actual]]+Table5201[[#This Row],[Actual]]+Table5212[[#This Row],[Actual]]+Table5223[[#This Row],[Actual]]+Table5234[[#This Row],[Actual]])</f>
        <v>0</v>
      </c>
      <c r="D24" s="10">
        <f t="shared" si="2"/>
        <v>0</v>
      </c>
      <c r="E24" s="8"/>
      <c r="F24" s="4"/>
      <c r="G24" s="14">
        <f>SUM(Table7[[#This Row],[Budget]]+Table7137[[#This Row],[Budget]]+Table7148[[#This Row],[Budget]]+Table7159[[#This Row],[Budget]]+Table7258[[#This Row],[Budget]]+Table760[[#This Row],[Budget]]+Table7181[[#This Row],[Budget]]+Table7192[[#This Row],[Budget]]+Table7203[[#This Row],[Budget]]+Table7214[[#This Row],[Budget]]+Table7225[[#This Row],[Budget]]+Table7236[[#This Row],[Budget]])</f>
        <v>0</v>
      </c>
      <c r="H24" s="14">
        <f>SUM(Table7[[#This Row],[Actual]]+Table7137[[#This Row],[Actual]]+Table7148[[#This Row],[Actual]]+Table7159[[#This Row],[Actual]]+Table7258[[#This Row],[Actual]]+Table760[[#This Row],[Actual]]+Table7181[[#This Row],[Actual]]+Table7192[[#This Row],[Actual]]+Table7203[[#This Row],[Actual]]+Table7214[[#This Row],[Actual]]+Table7225[[#This Row],[Actual]]+Table7236[[#This Row],[Actual]])</f>
        <v>0</v>
      </c>
      <c r="I24" s="10">
        <f t="shared" si="3"/>
        <v>0</v>
      </c>
    </row>
    <row r="25" spans="1:9" x14ac:dyDescent="0.35">
      <c r="A25" s="4" t="s">
        <v>37</v>
      </c>
      <c r="B25" s="9">
        <f>SUM(Table5[[#This Row],[Budget]]+Table5135[[#This Row],[Budget]]+Table5146[[#This Row],[Budget]]+Table5157[[#This Row],[Budget]]+Table5256[[#This Row],[Budget]]+Table558[[#This Row],[Budget]]+Table5179[[#This Row],[Budget]]+Table5190[[#This Row],[Budget]]+Table5201[[#This Row],[Budget]]+Table5212[[#This Row],[Budget]]+Table5223[[#This Row],[Budget]]+Table5234[[#This Row],[Budget]])</f>
        <v>0</v>
      </c>
      <c r="C25" s="9">
        <f>SUM(Table5[[#This Row],[Actual]]+Table5135[[#This Row],[Actual]]+Table5146[[#This Row],[Actual]]+Table5157[[#This Row],[Actual]]+Table5256[[#This Row],[Actual]]+Table558[[#This Row],[Actual]]+Table5179[[#This Row],[Actual]]+Table5190[[#This Row],[Actual]]+Table5201[[#This Row],[Actual]]+Table5212[[#This Row],[Actual]]+Table5223[[#This Row],[Actual]]+Table5234[[#This Row],[Actual]])</f>
        <v>0</v>
      </c>
      <c r="D25" s="10">
        <f>B25-C25</f>
        <v>0</v>
      </c>
      <c r="E25" s="8"/>
      <c r="F25" s="4"/>
      <c r="G25" s="14">
        <f>SUM(Table7[[#This Row],[Budget]]+Table7137[[#This Row],[Budget]]+Table7148[[#This Row],[Budget]]+Table7159[[#This Row],[Budget]]+Table7258[[#This Row],[Budget]]+Table760[[#This Row],[Budget]]+Table7181[[#This Row],[Budget]]+Table7192[[#This Row],[Budget]]+Table7203[[#This Row],[Budget]]+Table7214[[#This Row],[Budget]]+Table7225[[#This Row],[Budget]]+Table7236[[#This Row],[Budget]])</f>
        <v>0</v>
      </c>
      <c r="H25" s="14">
        <f>SUM(Table7[[#This Row],[Actual]]+Table7137[[#This Row],[Actual]]+Table7148[[#This Row],[Actual]]+Table7159[[#This Row],[Actual]]+Table7258[[#This Row],[Actual]]+Table760[[#This Row],[Actual]]+Table7181[[#This Row],[Actual]]+Table7192[[#This Row],[Actual]]+Table7203[[#This Row],[Actual]]+Table7214[[#This Row],[Actual]]+Table7225[[#This Row],[Actual]]+Table7236[[#This Row],[Actual]])</f>
        <v>0</v>
      </c>
      <c r="I25" s="10">
        <f t="shared" si="3"/>
        <v>0</v>
      </c>
    </row>
    <row r="26" spans="1:9" x14ac:dyDescent="0.35">
      <c r="A26" s="4" t="s">
        <v>73</v>
      </c>
      <c r="B26" s="9">
        <f>SUM(Table5[[#This Row],[Budget]]+Table5135[[#This Row],[Budget]]+Table5146[[#This Row],[Budget]]+Table5157[[#This Row],[Budget]]+Table5256[[#This Row],[Budget]]+Table558[[#This Row],[Budget]]+Table5179[[#This Row],[Budget]]+Table5190[[#This Row],[Budget]]+Table5201[[#This Row],[Budget]]+Table5212[[#This Row],[Budget]]+Table5223[[#This Row],[Budget]]+Table5234[[#This Row],[Budget]])</f>
        <v>0</v>
      </c>
      <c r="C26" s="9">
        <f>SUM(Table5[[#This Row],[Actual]]+Table5135[[#This Row],[Actual]]+Table5146[[#This Row],[Actual]]+Table5157[[#This Row],[Actual]]+Table5256[[#This Row],[Actual]]+Table558[[#This Row],[Actual]]+Table5179[[#This Row],[Actual]]+Table5190[[#This Row],[Actual]]+Table5201[[#This Row],[Actual]]+Table5212[[#This Row],[Actual]]+Table5223[[#This Row],[Actual]]+Table5234[[#This Row],[Actual]])</f>
        <v>0</v>
      </c>
      <c r="D26" s="10">
        <f t="shared" si="2"/>
        <v>0</v>
      </c>
      <c r="E26" s="8"/>
      <c r="F26" s="4" t="s">
        <v>21</v>
      </c>
      <c r="G26" s="14">
        <f>SUM(Table7[[#This Row],[Budget]]+Table7137[[#This Row],[Budget]]+Table7148[[#This Row],[Budget]]+Table7159[[#This Row],[Budget]]+Table7258[[#This Row],[Budget]]+Table760[[#This Row],[Budget]]+Table7181[[#This Row],[Budget]]+Table7192[[#This Row],[Budget]]+Table7203[[#This Row],[Budget]]+Table7214[[#This Row],[Budget]]+Table7225[[#This Row],[Budget]]+Table7236[[#This Row],[Budget]])</f>
        <v>0</v>
      </c>
      <c r="H26" s="14">
        <f>SUM(Table7[[#This Row],[Actual]]+Table7137[[#This Row],[Actual]]+Table7148[[#This Row],[Actual]]+Table7159[[#This Row],[Actual]]+Table7258[[#This Row],[Actual]]+Table760[[#This Row],[Actual]]+Table7181[[#This Row],[Actual]]+Table7192[[#This Row],[Actual]]+Table7203[[#This Row],[Actual]]+Table7214[[#This Row],[Actual]]+Table7225[[#This Row],[Actual]]+Table7236[[#This Row],[Actual]])</f>
        <v>0</v>
      </c>
      <c r="I26" s="10">
        <f t="shared" si="3"/>
        <v>0</v>
      </c>
    </row>
    <row r="27" spans="1:9" x14ac:dyDescent="0.35">
      <c r="A27" s="36" t="s">
        <v>75</v>
      </c>
      <c r="B27" s="9">
        <f>SUM(Table5[[#This Row],[Budget]]+Table5135[[#This Row],[Budget]]+Table5146[[#This Row],[Budget]]+Table5157[[#This Row],[Budget]]+Table5256[[#This Row],[Budget]]+Table558[[#This Row],[Budget]]+Table5179[[#This Row],[Budget]]+Table5190[[#This Row],[Budget]]+Table5201[[#This Row],[Budget]]+Table5212[[#This Row],[Budget]]+Table5223[[#This Row],[Budget]]+Table5234[[#This Row],[Budget]])</f>
        <v>0</v>
      </c>
      <c r="C27" s="9">
        <f>SUM(Table5[[#This Row],[Actual]]+Table5135[[#This Row],[Actual]]+Table5146[[#This Row],[Actual]]+Table5157[[#This Row],[Actual]]+Table5256[[#This Row],[Actual]]+Table558[[#This Row],[Actual]]+Table5179[[#This Row],[Actual]]+Table5190[[#This Row],[Actual]]+Table5201[[#This Row],[Actual]]+Table5212[[#This Row],[Actual]]+Table5223[[#This Row],[Actual]]+Table5234[[#This Row],[Actual]])</f>
        <v>0</v>
      </c>
      <c r="D27" s="10">
        <f t="shared" si="2"/>
        <v>0</v>
      </c>
      <c r="E27" s="8"/>
      <c r="F27" s="4" t="s">
        <v>41</v>
      </c>
      <c r="G27" s="14">
        <f>SUM(Table7[[#This Row],[Budget]]+Table7137[[#This Row],[Budget]]+Table7148[[#This Row],[Budget]]+Table7159[[#This Row],[Budget]]+Table7258[[#This Row],[Budget]]+Table760[[#This Row],[Budget]]+Table7181[[#This Row],[Budget]]+Table7192[[#This Row],[Budget]]+Table7203[[#This Row],[Budget]]+Table7214[[#This Row],[Budget]]+Table7225[[#This Row],[Budget]]+Table7236[[#This Row],[Budget]])</f>
        <v>0</v>
      </c>
      <c r="H27" s="14">
        <f>SUM(Table7[[#This Row],[Actual]]+Table7137[[#This Row],[Actual]]+Table7148[[#This Row],[Actual]]+Table7159[[#This Row],[Actual]]+Table7258[[#This Row],[Actual]]+Table760[[#This Row],[Actual]]+Table7181[[#This Row],[Actual]]+Table7192[[#This Row],[Actual]]+Table7203[[#This Row],[Actual]]+Table7214[[#This Row],[Actual]]+Table7225[[#This Row],[Actual]]+Table7236[[#This Row],[Actual]])</f>
        <v>0</v>
      </c>
      <c r="I27" s="10">
        <f t="shared" si="3"/>
        <v>0</v>
      </c>
    </row>
    <row r="28" spans="1:9" x14ac:dyDescent="0.35">
      <c r="A28" s="4" t="s">
        <v>10</v>
      </c>
      <c r="B28" s="9">
        <f>SUM(Table5[[#This Row],[Budget]]+Table5135[[#This Row],[Budget]]+Table5146[[#This Row],[Budget]]+Table5157[[#This Row],[Budget]]+Table5256[[#This Row],[Budget]]+Table558[[#This Row],[Budget]]+Table5179[[#This Row],[Budget]]+Table5190[[#This Row],[Budget]]+Table5201[[#This Row],[Budget]]+Table5212[[#This Row],[Budget]]+Table5223[[#This Row],[Budget]]+Table5234[[#This Row],[Budget]])</f>
        <v>0</v>
      </c>
      <c r="C28" s="14">
        <f>SUM(Table5[[#This Row],[Actual]]+Table5135[[#This Row],[Actual]]+Table5146[[#This Row],[Actual]]+Table5157[[#This Row],[Actual]]+Table5256[[#This Row],[Actual]]+Table558[[#This Row],[Actual]]+Table5179[[#This Row],[Actual]]+Table5190[[#This Row],[Actual]]+Table5201[[#This Row],[Actual]]+Table5212[[#This Row],[Actual]]+Table5223[[#This Row],[Actual]]+Table5234[[#This Row],[Actual]])</f>
        <v>0</v>
      </c>
      <c r="D28" s="10">
        <f t="shared" si="2"/>
        <v>0</v>
      </c>
      <c r="E28" s="8"/>
      <c r="F28" s="4" t="s">
        <v>42</v>
      </c>
      <c r="G28" s="14">
        <f>SUM(Table7[[#This Row],[Budget]]+Table7137[[#This Row],[Budget]]+Table7148[[#This Row],[Budget]]+Table7159[[#This Row],[Budget]]+Table7258[[#This Row],[Budget]]+Table760[[#This Row],[Budget]]+Table7181[[#This Row],[Budget]]+Table7192[[#This Row],[Budget]]+Table7203[[#This Row],[Budget]]+Table7214[[#This Row],[Budget]]+Table7225[[#This Row],[Budget]]+Table7236[[#This Row],[Budget]])</f>
        <v>0</v>
      </c>
      <c r="H28" s="14">
        <f>SUM(Table7[[#This Row],[Actual]]+Table7137[[#This Row],[Actual]]+Table7148[[#This Row],[Actual]]+Table7159[[#This Row],[Actual]]+Table7258[[#This Row],[Actual]]+Table760[[#This Row],[Actual]]+Table7181[[#This Row],[Actual]]+Table7192[[#This Row],[Actual]]+Table7203[[#This Row],[Actual]]+Table7214[[#This Row],[Actual]]+Table7225[[#This Row],[Actual]]+Table7236[[#This Row],[Actual]])</f>
        <v>0</v>
      </c>
      <c r="I28" s="10">
        <f t="shared" si="3"/>
        <v>0</v>
      </c>
    </row>
    <row r="29" spans="1:9" x14ac:dyDescent="0.35">
      <c r="A29" s="24" t="str">
        <f>"Total " &amp; Table5245[[#Headers],[HOME EXPENSES]]</f>
        <v>Total HOME EXPENSES</v>
      </c>
      <c r="B29" s="19">
        <f>SUBTOTAL(109,Table5245[Budget])</f>
        <v>0</v>
      </c>
      <c r="C29" s="19">
        <f>SUBTOTAL(109,Table5245[Actual])</f>
        <v>0</v>
      </c>
      <c r="D29" s="13">
        <f>SUBTOTAL(109,Table5245[Difference])</f>
        <v>0</v>
      </c>
      <c r="E29" s="8"/>
      <c r="F29" s="4" t="s">
        <v>137</v>
      </c>
      <c r="G29" s="14">
        <f>SUM(Table7[[#This Row],[Budget]]+Table7137[[#This Row],[Budget]]+Table7148[[#This Row],[Budget]]+Table7159[[#This Row],[Budget]]+Table7258[[#This Row],[Budget]]+Table760[[#This Row],[Budget]]+Table7181[[#This Row],[Budget]]+Table7192[[#This Row],[Budget]]+Table7203[[#This Row],[Budget]]+Table7214[[#This Row],[Budget]]+Table7225[[#This Row],[Budget]]+Table7236[[#This Row],[Budget]])</f>
        <v>0</v>
      </c>
      <c r="H29" s="14">
        <f>SUM(Table7[[#This Row],[Actual]]+Table7137[[#This Row],[Actual]]+Table7148[[#This Row],[Actual]]+Table7159[[#This Row],[Actual]]+Table7258[[#This Row],[Actual]]+Table760[[#This Row],[Actual]]+Table7181[[#This Row],[Actual]]+Table7192[[#This Row],[Actual]]+Table7203[[#This Row],[Actual]]+Table7214[[#This Row],[Actual]]+Table7225[[#This Row],[Actual]]+Table7236[[#This Row],[Actual]])</f>
        <v>0</v>
      </c>
      <c r="I29" s="10">
        <f t="shared" si="3"/>
        <v>0</v>
      </c>
    </row>
    <row r="30" spans="1:9" x14ac:dyDescent="0.35">
      <c r="A30" s="8"/>
      <c r="B30" s="17"/>
      <c r="C30" s="17"/>
      <c r="D30" s="17"/>
      <c r="E30" s="8"/>
      <c r="F30" s="4" t="s">
        <v>23</v>
      </c>
      <c r="G30" s="14">
        <f>SUM(Table7[[#This Row],[Budget]]+Table7137[[#This Row],[Budget]]+Table7148[[#This Row],[Budget]]+Table7159[[#This Row],[Budget]]+Table7258[[#This Row],[Budget]]+Table760[[#This Row],[Budget]]+Table7181[[#This Row],[Budget]]+Table7192[[#This Row],[Budget]]+Table7203[[#This Row],[Budget]]+Table7214[[#This Row],[Budget]]+Table7225[[#This Row],[Budget]]+Table7236[[#This Row],[Budget]])</f>
        <v>0</v>
      </c>
      <c r="H30" s="14">
        <f>SUM(Table7[[#This Row],[Actual]]+Table7137[[#This Row],[Actual]]+Table7148[[#This Row],[Actual]]+Table7159[[#This Row],[Actual]]+Table7258[[#This Row],[Actual]]+Table760[[#This Row],[Actual]]+Table7181[[#This Row],[Actual]]+Table7192[[#This Row],[Actual]]+Table7203[[#This Row],[Actual]]+Table7214[[#This Row],[Actual]]+Table7225[[#This Row],[Actual]]+Table7236[[#This Row],[Actual]])</f>
        <v>0</v>
      </c>
      <c r="I30" s="10">
        <f t="shared" si="3"/>
        <v>0</v>
      </c>
    </row>
    <row r="31" spans="1:9" x14ac:dyDescent="0.35">
      <c r="A31" s="21" t="s">
        <v>11</v>
      </c>
      <c r="B31" s="22" t="s">
        <v>49</v>
      </c>
      <c r="C31" s="23" t="s">
        <v>0</v>
      </c>
      <c r="D31" s="23" t="s">
        <v>46</v>
      </c>
      <c r="E31" s="8"/>
      <c r="F31" s="4" t="s">
        <v>43</v>
      </c>
      <c r="G31" s="14">
        <f>SUM(Table7[[#This Row],[Budget]]+Table7137[[#This Row],[Budget]]+Table7148[[#This Row],[Budget]]+Table7159[[#This Row],[Budget]]+Table7258[[#This Row],[Budget]]+Table760[[#This Row],[Budget]]+Table7181[[#This Row],[Budget]]+Table7192[[#This Row],[Budget]]+Table7203[[#This Row],[Budget]]+Table7214[[#This Row],[Budget]]+Table7225[[#This Row],[Budget]]+Table7236[[#This Row],[Budget]])</f>
        <v>0</v>
      </c>
      <c r="H31" s="14">
        <f>SUM(Table7[[#This Row],[Actual]]+Table7137[[#This Row],[Actual]]+Table7148[[#This Row],[Actual]]+Table7159[[#This Row],[Actual]]+Table7258[[#This Row],[Actual]]+Table760[[#This Row],[Actual]]+Table7181[[#This Row],[Actual]]+Table7192[[#This Row],[Actual]]+Table7203[[#This Row],[Actual]]+Table7214[[#This Row],[Actual]]+Table7225[[#This Row],[Actual]]+Table7236[[#This Row],[Actual]])</f>
        <v>0</v>
      </c>
      <c r="I31" s="10">
        <f t="shared" si="3"/>
        <v>0</v>
      </c>
    </row>
    <row r="32" spans="1:9" x14ac:dyDescent="0.35">
      <c r="A32" s="4" t="s">
        <v>12</v>
      </c>
      <c r="B32" s="14">
        <f>SUM(Table20[[#This Row],[Budget]]+Table20143[[#This Row],[Budget]]+Table20154[[#This Row],[Budget]]+Table20165[[#This Row],[Budget]]+Table20264[[#This Row],[Budget]]+Table2066[[#This Row],[Budget]]+Table20187[[#This Row],[Budget]]+Table20198[[#This Row],[Budget]]+Table20209[[#This Row],[Budget]]+Table20220[[#This Row],[Budget]]+Table20231[[#This Row],[Budget]]+Table20242[[#This Row],[Budget]])</f>
        <v>0</v>
      </c>
      <c r="C32" s="14">
        <f>SUM(Table20[[#This Row],[Actual]]+Table20143[[#This Row],[Actual]]+Table20154[[#This Row],[Actual]]+Table20165[[#This Row],[Actual]]+Table20264[[#This Row],[Actual]]+Table2066[[#This Row],[Actual]]+Table20187[[#This Row],[Actual]]+Table20198[[#This Row],[Actual]]+Table20209[[#This Row],[Actual]]+Table20220[[#This Row],[Actual]]+Table20231[[#This Row],[Actual]]+Table20242[[#This Row],[Actual]])</f>
        <v>0</v>
      </c>
      <c r="D32" s="10">
        <f>B32-C32</f>
        <v>0</v>
      </c>
      <c r="E32" s="8"/>
      <c r="F32" s="4" t="s">
        <v>24</v>
      </c>
      <c r="G32" s="14">
        <f>SUM(Table7[[#This Row],[Budget]]+Table7137[[#This Row],[Budget]]+Table7148[[#This Row],[Budget]]+Table7159[[#This Row],[Budget]]+Table7258[[#This Row],[Budget]]+Table760[[#This Row],[Budget]]+Table7181[[#This Row],[Budget]]+Table7192[[#This Row],[Budget]]+Table7203[[#This Row],[Budget]]+Table7214[[#This Row],[Budget]]+Table7225[[#This Row],[Budget]]+Table7236[[#This Row],[Budget]])</f>
        <v>0</v>
      </c>
      <c r="H32" s="14">
        <f>SUM(Table7[[#This Row],[Actual]]+Table7137[[#This Row],[Actual]]+Table7148[[#This Row],[Actual]]+Table7159[[#This Row],[Actual]]+Table7258[[#This Row],[Actual]]+Table760[[#This Row],[Actual]]+Table7181[[#This Row],[Actual]]+Table7192[[#This Row],[Actual]]+Table7203[[#This Row],[Actual]]+Table7214[[#This Row],[Actual]]+Table7225[[#This Row],[Actual]]+Table7236[[#This Row],[Actual]])</f>
        <v>0</v>
      </c>
      <c r="I32" s="10">
        <f t="shared" si="3"/>
        <v>0</v>
      </c>
    </row>
    <row r="33" spans="1:9" x14ac:dyDescent="0.35">
      <c r="A33" s="4" t="s">
        <v>52</v>
      </c>
      <c r="B33" s="14">
        <f>SUM(Table20[[#This Row],[Budget]]+Table20143[[#This Row],[Budget]]+Table20154[[#This Row],[Budget]]+Table20165[[#This Row],[Budget]]+Table20264[[#This Row],[Budget]]+Table2066[[#This Row],[Budget]]+Table20187[[#This Row],[Budget]]+Table20198[[#This Row],[Budget]]+Table20209[[#This Row],[Budget]]+Table20220[[#This Row],[Budget]]+Table20231[[#This Row],[Budget]]+Table20242[[#This Row],[Budget]])</f>
        <v>0</v>
      </c>
      <c r="C33" s="14">
        <f>SUM(Table20[[#This Row],[Actual]]+Table20143[[#This Row],[Actual]]+Table20154[[#This Row],[Actual]]+Table20165[[#This Row],[Actual]]+Table20264[[#This Row],[Actual]]+Table2066[[#This Row],[Actual]]+Table20187[[#This Row],[Actual]]+Table20198[[#This Row],[Actual]]+Table20209[[#This Row],[Actual]]+Table20220[[#This Row],[Actual]]+Table20231[[#This Row],[Actual]]+Table20242[[#This Row],[Actual]])</f>
        <v>0</v>
      </c>
      <c r="D33" s="10">
        <f t="shared" ref="D33:D38" si="4">B33-C33</f>
        <v>0</v>
      </c>
      <c r="E33" s="8"/>
      <c r="F33" s="4" t="s">
        <v>22</v>
      </c>
      <c r="G33" s="14">
        <f>SUM(Table7[[#This Row],[Budget]]+Table7137[[#This Row],[Budget]]+Table7148[[#This Row],[Budget]]+Table7159[[#This Row],[Budget]]+Table7258[[#This Row],[Budget]]+Table760[[#This Row],[Budget]]+Table7181[[#This Row],[Budget]]+Table7192[[#This Row],[Budget]]+Table7203[[#This Row],[Budget]]+Table7214[[#This Row],[Budget]]+Table7225[[#This Row],[Budget]]+Table7236[[#This Row],[Budget]])</f>
        <v>0</v>
      </c>
      <c r="H33" s="14">
        <f>SUM(Table7[[#This Row],[Actual]]+Table7137[[#This Row],[Actual]]+Table7148[[#This Row],[Actual]]+Table7159[[#This Row],[Actual]]+Table7258[[#This Row],[Actual]]+Table760[[#This Row],[Actual]]+Table7181[[#This Row],[Actual]]+Table7192[[#This Row],[Actual]]+Table7203[[#This Row],[Actual]]+Table7214[[#This Row],[Actual]]+Table7225[[#This Row],[Actual]]+Table7236[[#This Row],[Actual]])</f>
        <v>0</v>
      </c>
      <c r="I33" s="10">
        <f t="shared" si="3"/>
        <v>0</v>
      </c>
    </row>
    <row r="34" spans="1:9" x14ac:dyDescent="0.35">
      <c r="A34" s="4" t="s">
        <v>13</v>
      </c>
      <c r="B34" s="14">
        <f>SUM(Table20[[#This Row],[Budget]]+Table20143[[#This Row],[Budget]]+Table20154[[#This Row],[Budget]]+Table20165[[#This Row],[Budget]]+Table20264[[#This Row],[Budget]]+Table2066[[#This Row],[Budget]]+Table20187[[#This Row],[Budget]]+Table20198[[#This Row],[Budget]]+Table20209[[#This Row],[Budget]]+Table20220[[#This Row],[Budget]]+Table20231[[#This Row],[Budget]]+Table20242[[#This Row],[Budget]])</f>
        <v>0</v>
      </c>
      <c r="C34" s="14">
        <f>SUM(Table20[[#This Row],[Actual]]+Table20143[[#This Row],[Actual]]+Table20154[[#This Row],[Actual]]+Table20165[[#This Row],[Actual]]+Table20264[[#This Row],[Actual]]+Table2066[[#This Row],[Actual]]+Table20187[[#This Row],[Actual]]+Table20198[[#This Row],[Actual]]+Table20209[[#This Row],[Actual]]+Table20220[[#This Row],[Actual]]+Table20231[[#This Row],[Actual]]+Table20242[[#This Row],[Actual]])</f>
        <v>0</v>
      </c>
      <c r="D34" s="10">
        <f>B34-C34</f>
        <v>0</v>
      </c>
      <c r="E34" s="8"/>
      <c r="F34" s="4" t="s">
        <v>44</v>
      </c>
      <c r="G34" s="14">
        <f>SUM(Table7[[#This Row],[Budget]]+Table7137[[#This Row],[Budget]]+Table7148[[#This Row],[Budget]]+Table7159[[#This Row],[Budget]]+Table7258[[#This Row],[Budget]]+Table760[[#This Row],[Budget]]+Table7181[[#This Row],[Budget]]+Table7192[[#This Row],[Budget]]+Table7203[[#This Row],[Budget]]+Table7214[[#This Row],[Budget]]+Table7225[[#This Row],[Budget]]+Table7236[[#This Row],[Budget]])</f>
        <v>0</v>
      </c>
      <c r="H34" s="14">
        <f>SUM(Table7[[#This Row],[Actual]]+Table7137[[#This Row],[Actual]]+Table7148[[#This Row],[Actual]]+Table7159[[#This Row],[Actual]]+Table7258[[#This Row],[Actual]]+Table760[[#This Row],[Actual]]+Table7181[[#This Row],[Actual]]+Table7192[[#This Row],[Actual]]+Table7203[[#This Row],[Actual]]+Table7214[[#This Row],[Actual]]+Table7225[[#This Row],[Actual]]+Table7236[[#This Row],[Actual]])</f>
        <v>0</v>
      </c>
      <c r="I34" s="10">
        <f t="shared" si="3"/>
        <v>0</v>
      </c>
    </row>
    <row r="35" spans="1:9" x14ac:dyDescent="0.35">
      <c r="A35" s="4" t="s">
        <v>35</v>
      </c>
      <c r="B35" s="14">
        <f>SUM(Table20[[#This Row],[Budget]]+Table20143[[#This Row],[Budget]]+Table20154[[#This Row],[Budget]]+Table20165[[#This Row],[Budget]]+Table20264[[#This Row],[Budget]]+Table2066[[#This Row],[Budget]]+Table20187[[#This Row],[Budget]]+Table20198[[#This Row],[Budget]]+Table20209[[#This Row],[Budget]]+Table20220[[#This Row],[Budget]]+Table20231[[#This Row],[Budget]]+Table20242[[#This Row],[Budget]])</f>
        <v>0</v>
      </c>
      <c r="C35" s="14">
        <f>SUM(Table20[[#This Row],[Actual]]+Table20143[[#This Row],[Actual]]+Table20154[[#This Row],[Actual]]+Table20165[[#This Row],[Actual]]+Table20264[[#This Row],[Actual]]+Table2066[[#This Row],[Actual]]+Table20187[[#This Row],[Actual]]+Table20198[[#This Row],[Actual]]+Table20209[[#This Row],[Actual]]+Table20220[[#This Row],[Actual]]+Table20231[[#This Row],[Actual]]+Table20242[[#This Row],[Actual]])</f>
        <v>0</v>
      </c>
      <c r="D35" s="10">
        <f t="shared" si="4"/>
        <v>0</v>
      </c>
      <c r="E35" s="8"/>
      <c r="F35" s="4" t="s">
        <v>59</v>
      </c>
      <c r="G35" s="14">
        <f>SUM(Table7[[#This Row],[Budget]]+Table7137[[#This Row],[Budget]]+Table7148[[#This Row],[Budget]]+Table7159[[#This Row],[Budget]]+Table7258[[#This Row],[Budget]]+Table760[[#This Row],[Budget]]+Table7181[[#This Row],[Budget]]+Table7192[[#This Row],[Budget]]+Table7203[[#This Row],[Budget]]+Table7214[[#This Row],[Budget]]+Table7225[[#This Row],[Budget]]+Table7236[[#This Row],[Budget]])</f>
        <v>0</v>
      </c>
      <c r="H35" s="14">
        <f>SUM(Table7[[#This Row],[Actual]]+Table7137[[#This Row],[Actual]]+Table7148[[#This Row],[Actual]]+Table7159[[#This Row],[Actual]]+Table7258[[#This Row],[Actual]]+Table760[[#This Row],[Actual]]+Table7181[[#This Row],[Actual]]+Table7192[[#This Row],[Actual]]+Table7203[[#This Row],[Actual]]+Table7214[[#This Row],[Actual]]+Table7225[[#This Row],[Actual]]+Table7236[[#This Row],[Actual]])</f>
        <v>0</v>
      </c>
      <c r="I35" s="10">
        <f t="shared" si="3"/>
        <v>0</v>
      </c>
    </row>
    <row r="36" spans="1:9" x14ac:dyDescent="0.35">
      <c r="A36" s="4" t="s">
        <v>14</v>
      </c>
      <c r="B36" s="14">
        <f>SUM(Table20[[#This Row],[Budget]]+Table20143[[#This Row],[Budget]]+Table20154[[#This Row],[Budget]]+Table20165[[#This Row],[Budget]]+Table20264[[#This Row],[Budget]]+Table2066[[#This Row],[Budget]]+Table20187[[#This Row],[Budget]]+Table20198[[#This Row],[Budget]]+Table20209[[#This Row],[Budget]]+Table20220[[#This Row],[Budget]]+Table20231[[#This Row],[Budget]]+Table20242[[#This Row],[Budget]])</f>
        <v>0</v>
      </c>
      <c r="C36" s="14">
        <f>SUM(Table20[[#This Row],[Actual]]+Table20143[[#This Row],[Actual]]+Table20154[[#This Row],[Actual]]+Table20165[[#This Row],[Actual]]+Table20264[[#This Row],[Actual]]+Table2066[[#This Row],[Actual]]+Table20187[[#This Row],[Actual]]+Table20198[[#This Row],[Actual]]+Table20209[[#This Row],[Actual]]+Table20220[[#This Row],[Actual]]+Table20231[[#This Row],[Actual]]+Table20242[[#This Row],[Actual]])</f>
        <v>0</v>
      </c>
      <c r="D36" s="10">
        <f t="shared" si="4"/>
        <v>0</v>
      </c>
      <c r="E36" s="8"/>
      <c r="F36" s="4" t="s">
        <v>76</v>
      </c>
      <c r="G36" s="14">
        <f>SUM(Table7[[#This Row],[Budget]]+Table7137[[#This Row],[Budget]]+Table7148[[#This Row],[Budget]]+Table7159[[#This Row],[Budget]]+Table7258[[#This Row],[Budget]]+Table760[[#This Row],[Budget]]+Table7181[[#This Row],[Budget]]+Table7192[[#This Row],[Budget]]+Table7203[[#This Row],[Budget]]+Table7214[[#This Row],[Budget]]+Table7225[[#This Row],[Budget]]+Table7236[[#This Row],[Budget]])</f>
        <v>0</v>
      </c>
      <c r="H36" s="14">
        <f>SUM(Table7[[#This Row],[Actual]]+Table7137[[#This Row],[Actual]]+Table7148[[#This Row],[Actual]]+Table7159[[#This Row],[Actual]]+Table7258[[#This Row],[Actual]]+Table760[[#This Row],[Actual]]+Table7181[[#This Row],[Actual]]+Table7192[[#This Row],[Actual]]+Table7203[[#This Row],[Actual]]+Table7214[[#This Row],[Actual]]+Table7225[[#This Row],[Actual]]+Table7236[[#This Row],[Actual]])</f>
        <v>0</v>
      </c>
      <c r="I36" s="10">
        <f t="shared" si="3"/>
        <v>0</v>
      </c>
    </row>
    <row r="37" spans="1:9" x14ac:dyDescent="0.35">
      <c r="A37" s="4" t="s">
        <v>36</v>
      </c>
      <c r="B37" s="14">
        <f>SUM(Table20[[#This Row],[Budget]]+Table20143[[#This Row],[Budget]]+Table20154[[#This Row],[Budget]]+Table20165[[#This Row],[Budget]]+Table20264[[#This Row],[Budget]]+Table2066[[#This Row],[Budget]]+Table20187[[#This Row],[Budget]]+Table20198[[#This Row],[Budget]]+Table20209[[#This Row],[Budget]]+Table20220[[#This Row],[Budget]]+Table20231[[#This Row],[Budget]]+Table20242[[#This Row],[Budget]])</f>
        <v>0</v>
      </c>
      <c r="C37" s="14">
        <f>SUM(Table20[[#This Row],[Actual]]+Table20143[[#This Row],[Actual]]+Table20154[[#This Row],[Actual]]+Table20165[[#This Row],[Actual]]+Table20264[[#This Row],[Actual]]+Table2066[[#This Row],[Actual]]+Table20187[[#This Row],[Actual]]+Table20198[[#This Row],[Actual]]+Table20209[[#This Row],[Actual]]+Table20220[[#This Row],[Actual]]+Table20231[[#This Row],[Actual]]+Table20242[[#This Row],[Actual]])</f>
        <v>0</v>
      </c>
      <c r="D37" s="10">
        <f t="shared" si="4"/>
        <v>0</v>
      </c>
      <c r="E37" s="8"/>
      <c r="F37" s="37" t="str">
        <f>"Total " &amp; Table7247[[#Headers],[Entertainment]]</f>
        <v>Total Entertainment</v>
      </c>
      <c r="G37" s="38">
        <f>SUBTOTAL(109,Table7247[Budget])</f>
        <v>0</v>
      </c>
      <c r="H37" s="38">
        <f>SUBTOTAL(109,Table7247[Actual])</f>
        <v>0</v>
      </c>
      <c r="I37" s="39">
        <f>SUBTOTAL(109,Table7247[Difference])</f>
        <v>0</v>
      </c>
    </row>
    <row r="38" spans="1:9" x14ac:dyDescent="0.35">
      <c r="A38" s="4" t="s">
        <v>10</v>
      </c>
      <c r="B38" s="14">
        <f>SUM(Table20[[#This Row],[Budget]]+Table20143[[#This Row],[Budget]]+Table20154[[#This Row],[Budget]]+Table20165[[#This Row],[Budget]]+Table20264[[#This Row],[Budget]]+Table2066[[#This Row],[Budget]]+Table20187[[#This Row],[Budget]]+Table20198[[#This Row],[Budget]]+Table20209[[#This Row],[Budget]]+Table20220[[#This Row],[Budget]]+Table20231[[#This Row],[Budget]]+Table20242[[#This Row],[Budget]])</f>
        <v>0</v>
      </c>
      <c r="C38" s="14">
        <f>SUM(Table20[[#This Row],[Actual]]+Table20143[[#This Row],[Actual]]+Table20154[[#This Row],[Actual]]+Table20165[[#This Row],[Actual]]+Table20264[[#This Row],[Actual]]+Table2066[[#This Row],[Actual]]+Table20187[[#This Row],[Actual]]+Table20198[[#This Row],[Actual]]+Table20209[[#This Row],[Actual]]+Table20220[[#This Row],[Actual]]+Table20231[[#This Row],[Actual]]+Table20242[[#This Row],[Actual]])</f>
        <v>0</v>
      </c>
      <c r="D38" s="10">
        <f t="shared" si="4"/>
        <v>0</v>
      </c>
      <c r="E38" s="8"/>
      <c r="F38" s="8"/>
      <c r="G38" s="17"/>
      <c r="H38" s="17"/>
      <c r="I38" s="17"/>
    </row>
    <row r="39" spans="1:9" x14ac:dyDescent="0.35">
      <c r="A39" s="24" t="str">
        <f>"Total " &amp; Table20253[[#Headers],[TRANSPORTATION]]</f>
        <v>Total TRANSPORTATION</v>
      </c>
      <c r="B39" s="19">
        <f>SUBTOTAL(109,Table20253[Budget])</f>
        <v>0</v>
      </c>
      <c r="C39" s="19">
        <f>SUBTOTAL(109,Table20253[Actual])</f>
        <v>0</v>
      </c>
      <c r="D39" s="13">
        <f>SUBTOTAL(109,Table20253[Difference])</f>
        <v>0</v>
      </c>
      <c r="E39" s="8"/>
      <c r="F39" s="21" t="s">
        <v>32</v>
      </c>
      <c r="G39" s="22" t="s">
        <v>49</v>
      </c>
      <c r="H39" s="23" t="s">
        <v>0</v>
      </c>
      <c r="I39" s="23" t="s">
        <v>46</v>
      </c>
    </row>
    <row r="40" spans="1:9" x14ac:dyDescent="0.35">
      <c r="A40" s="8"/>
      <c r="B40" s="17"/>
      <c r="C40" s="17"/>
      <c r="D40" s="17"/>
      <c r="E40" s="8"/>
      <c r="F40" s="4" t="s">
        <v>29</v>
      </c>
      <c r="G40" s="14">
        <f>SUM(Table8[[#This Row],[Budget]]+Table8138[[#This Row],[Budget]]+Table8149[[#This Row],[Budget]]+Table8160[[#This Row],[Budget]]+Table8259[[#This Row],[Budget]]+Table861[[#This Row],[Budget]]+Table8182[[#This Row],[Budget]]+Table8193[[#This Row],[Budget]]+Table8204[[#This Row],[Budget]]+Table8215[[#This Row],[Budget]]+Table8226[[#This Row],[Budget]]+Table8237[[#This Row],[Budget]])</f>
        <v>0</v>
      </c>
      <c r="H40" s="14">
        <f>SUM(Table8[[#This Row],[Actual]]+Table8138[[#This Row],[Actual]]+Table8149[[#This Row],[Actual]]+Table8160[[#This Row],[Actual]]+Table8259[[#This Row],[Actual]]+Table861[[#This Row],[Actual]]+Table8182[[#This Row],[Actual]]+Table8193[[#This Row],[Actual]]+Table8204[[#This Row],[Actual]]+Table8215[[#This Row],[Actual]]+Table8226[[#This Row],[Actual]]+Table8237[[#This Row],[Actual]])</f>
        <v>0</v>
      </c>
      <c r="I40" s="10">
        <f>G40-H40</f>
        <v>0</v>
      </c>
    </row>
    <row r="41" spans="1:9" x14ac:dyDescent="0.35">
      <c r="A41" s="21" t="s">
        <v>15</v>
      </c>
      <c r="B41" s="22" t="s">
        <v>49</v>
      </c>
      <c r="C41" s="23" t="s">
        <v>0</v>
      </c>
      <c r="D41" s="23" t="s">
        <v>46</v>
      </c>
      <c r="E41" s="8"/>
      <c r="F41" s="4" t="s">
        <v>30</v>
      </c>
      <c r="G41" s="14">
        <f>SUM(Table8[[#This Row],[Budget]]+Table8138[[#This Row],[Budget]]+Table8149[[#This Row],[Budget]]+Table8160[[#This Row],[Budget]]+Table8259[[#This Row],[Budget]]+Table861[[#This Row],[Budget]]+Table8182[[#This Row],[Budget]]+Table8193[[#This Row],[Budget]]+Table8204[[#This Row],[Budget]]+Table8215[[#This Row],[Budget]]+Table8226[[#This Row],[Budget]]+Table8237[[#This Row],[Budget]])</f>
        <v>0</v>
      </c>
      <c r="H41" s="14">
        <f>SUM(Table8[[#This Row],[Actual]]+Table8138[[#This Row],[Actual]]+Table8149[[#This Row],[Actual]]+Table8160[[#This Row],[Actual]]+Table8259[[#This Row],[Actual]]+Table861[[#This Row],[Actual]]+Table8182[[#This Row],[Actual]]+Table8193[[#This Row],[Actual]]+Table8204[[#This Row],[Actual]]+Table8215[[#This Row],[Actual]]+Table8226[[#This Row],[Actual]]+Table8237[[#This Row],[Actual]])</f>
        <v>0</v>
      </c>
      <c r="I41" s="10">
        <f t="shared" ref="I41:I42" si="5">G41-H41</f>
        <v>0</v>
      </c>
    </row>
    <row r="42" spans="1:9" x14ac:dyDescent="0.35">
      <c r="A42" s="4" t="s">
        <v>53</v>
      </c>
      <c r="B42" s="14">
        <f>SUM(Table21[[#This Row],[Budget]]+Table21144[[#This Row],[Budget]]+Table21155[[#This Row],[Budget]]+Table21166[[#This Row],[Budget]]+Table21265[[#This Row],[Budget]]+Table2167[[#This Row],[Budget]]+Table21188[[#This Row],[Budget]]+Table21199[[#This Row],[Budget]]+Table21210[[#This Row],[Budget]]+Table21221[[#This Row],[Budget]]+Table21232[[#This Row],[Budget]]+Table21243[[#This Row],[Budget]])</f>
        <v>0</v>
      </c>
      <c r="C42" s="14">
        <f>SUM(Table21[[#This Row],[Actual]]+Table21144[[#This Row],[Actual]]+Table21155[[#This Row],[Actual]]+Table21166[[#This Row],[Actual]]+Table21265[[#This Row],[Actual]]+Table2167[[#This Row],[Actual]]+Table21188[[#This Row],[Actual]]+Table21199[[#This Row],[Actual]]+Table21210[[#This Row],[Actual]]+Table21221[[#This Row],[Actual]]+Table21232[[#This Row],[Actual]]+Table21243[[#This Row],[Actual]])</f>
        <v>0</v>
      </c>
      <c r="D42" s="10">
        <f t="shared" ref="D42:D48" si="6">B42-C42</f>
        <v>0</v>
      </c>
      <c r="E42" s="8"/>
      <c r="F42" s="4" t="s">
        <v>33</v>
      </c>
      <c r="G42" s="14">
        <f>SUM(Table8[[#This Row],[Budget]]+Table8138[[#This Row],[Budget]]+Table8149[[#This Row],[Budget]]+Table8160[[#This Row],[Budget]]+Table8259[[#This Row],[Budget]]+Table861[[#This Row],[Budget]]+Table8182[[#This Row],[Budget]]+Table8193[[#This Row],[Budget]]+Table8204[[#This Row],[Budget]]+Table8215[[#This Row],[Budget]]+Table8226[[#This Row],[Budget]]+Table8237[[#This Row],[Budget]])</f>
        <v>0</v>
      </c>
      <c r="H42" s="14">
        <f>SUM(Table8[[#This Row],[Actual]]+Table8138[[#This Row],[Actual]]+Table8149[[#This Row],[Actual]]+Table8160[[#This Row],[Actual]]+Table8259[[#This Row],[Actual]]+Table861[[#This Row],[Actual]]+Table8182[[#This Row],[Actual]]+Table8193[[#This Row],[Actual]]+Table8204[[#This Row],[Actual]]+Table8215[[#This Row],[Actual]]+Table8226[[#This Row],[Actual]]+Table8237[[#This Row],[Actual]])</f>
        <v>0</v>
      </c>
      <c r="I42" s="10">
        <f t="shared" si="5"/>
        <v>0</v>
      </c>
    </row>
    <row r="43" spans="1:9" x14ac:dyDescent="0.35">
      <c r="A43" s="4" t="s">
        <v>16</v>
      </c>
      <c r="B43" s="14">
        <f>SUM(Table21[[#This Row],[Budget]]+Table21144[[#This Row],[Budget]]+Table21155[[#This Row],[Budget]]+Table21166[[#This Row],[Budget]]+Table21265[[#This Row],[Budget]]+Table2167[[#This Row],[Budget]]+Table21188[[#This Row],[Budget]]+Table21199[[#This Row],[Budget]]+Table21210[[#This Row],[Budget]]+Table21221[[#This Row],[Budget]]+Table21232[[#This Row],[Budget]]+Table21243[[#This Row],[Budget]])</f>
        <v>0</v>
      </c>
      <c r="C43" s="14">
        <f>SUM(Table21[[#This Row],[Actual]]+Table21144[[#This Row],[Actual]]+Table21155[[#This Row],[Actual]]+Table21166[[#This Row],[Actual]]+Table21265[[#This Row],[Actual]]+Table2167[[#This Row],[Actual]]+Table21188[[#This Row],[Actual]]+Table21199[[#This Row],[Actual]]+Table21210[[#This Row],[Actual]]+Table21221[[#This Row],[Actual]]+Table21232[[#This Row],[Actual]]+Table21243[[#This Row],[Actual]])</f>
        <v>0</v>
      </c>
      <c r="D43" s="10">
        <f t="shared" si="6"/>
        <v>0</v>
      </c>
      <c r="E43" s="8"/>
      <c r="F43" s="4" t="s">
        <v>31</v>
      </c>
      <c r="G43" s="14">
        <f>SUM(Table8[[#This Row],[Budget]]+Table8138[[#This Row],[Budget]]+Table8149[[#This Row],[Budget]]+Table8160[[#This Row],[Budget]]+Table8259[[#This Row],[Budget]]+Table861[[#This Row],[Budget]]+Table8182[[#This Row],[Budget]]+Table8193[[#This Row],[Budget]]+Table8204[[#This Row],[Budget]]+Table8215[[#This Row],[Budget]]+Table8226[[#This Row],[Budget]]+Table8237[[#This Row],[Budget]])</f>
        <v>0</v>
      </c>
      <c r="H43" s="14">
        <f>SUM(Table8[[#This Row],[Actual]]+Table8138[[#This Row],[Actual]]+Table8149[[#This Row],[Actual]]+Table8160[[#This Row],[Actual]]+Table8259[[#This Row],[Actual]]+Table861[[#This Row],[Actual]]+Table8182[[#This Row],[Actual]]+Table8193[[#This Row],[Actual]]+Table8204[[#This Row],[Actual]]+Table8215[[#This Row],[Actual]]+Table8226[[#This Row],[Actual]]+Table8237[[#This Row],[Actual]])</f>
        <v>0</v>
      </c>
      <c r="I43" s="10">
        <f>G43-H43</f>
        <v>0</v>
      </c>
    </row>
    <row r="44" spans="1:9" x14ac:dyDescent="0.35">
      <c r="A44" s="4" t="s">
        <v>17</v>
      </c>
      <c r="B44" s="14">
        <f>SUM(Table21[[#This Row],[Budget]]+Table21144[[#This Row],[Budget]]+Table21155[[#This Row],[Budget]]+Table21166[[#This Row],[Budget]]+Table21265[[#This Row],[Budget]]+Table2167[[#This Row],[Budget]]+Table21188[[#This Row],[Budget]]+Table21199[[#This Row],[Budget]]+Table21210[[#This Row],[Budget]]+Table21221[[#This Row],[Budget]]+Table21232[[#This Row],[Budget]]+Table21243[[#This Row],[Budget]])</f>
        <v>0</v>
      </c>
      <c r="C44" s="14">
        <f>SUM(Table21[[#This Row],[Actual]]+Table21144[[#This Row],[Actual]]+Table21155[[#This Row],[Actual]]+Table21166[[#This Row],[Actual]]+Table21265[[#This Row],[Actual]]+Table2167[[#This Row],[Actual]]+Table21188[[#This Row],[Actual]]+Table21199[[#This Row],[Actual]]+Table21210[[#This Row],[Actual]]+Table21221[[#This Row],[Actual]]+Table21232[[#This Row],[Actual]]+Table21243[[#This Row],[Actual]])</f>
        <v>0</v>
      </c>
      <c r="D44" s="10">
        <f t="shared" si="6"/>
        <v>0</v>
      </c>
      <c r="E44" s="8"/>
      <c r="F44" s="4" t="s">
        <v>60</v>
      </c>
      <c r="G44" s="14">
        <f>SUM(Table8[[#This Row],[Budget]]+Table8138[[#This Row],[Budget]]+Table8149[[#This Row],[Budget]]+Table8160[[#This Row],[Budget]]+Table8259[[#This Row],[Budget]]+Table861[[#This Row],[Budget]]+Table8182[[#This Row],[Budget]]+Table8193[[#This Row],[Budget]]+Table8204[[#This Row],[Budget]]+Table8215[[#This Row],[Budget]]+Table8226[[#This Row],[Budget]]+Table8237[[#This Row],[Budget]])</f>
        <v>0</v>
      </c>
      <c r="H44" s="14">
        <f>SUM(Table8[[#This Row],[Actual]]+Table8138[[#This Row],[Actual]]+Table8149[[#This Row],[Actual]]+Table8160[[#This Row],[Actual]]+Table8259[[#This Row],[Actual]]+Table861[[#This Row],[Actual]]+Table8182[[#This Row],[Actual]]+Table8193[[#This Row],[Actual]]+Table8204[[#This Row],[Actual]]+Table8215[[#This Row],[Actual]]+Table8226[[#This Row],[Actual]]+Table8237[[#This Row],[Actual]])</f>
        <v>0</v>
      </c>
      <c r="I44" s="10">
        <f>G44-H44</f>
        <v>0</v>
      </c>
    </row>
    <row r="45" spans="1:9" x14ac:dyDescent="0.35">
      <c r="A45" s="4" t="s">
        <v>18</v>
      </c>
      <c r="B45" s="14">
        <f>SUM(Table21[[#This Row],[Budget]]+Table21144[[#This Row],[Budget]]+Table21155[[#This Row],[Budget]]+Table21166[[#This Row],[Budget]]+Table21265[[#This Row],[Budget]]+Table2167[[#This Row],[Budget]]+Table21188[[#This Row],[Budget]]+Table21199[[#This Row],[Budget]]+Table21210[[#This Row],[Budget]]+Table21221[[#This Row],[Budget]]+Table21232[[#This Row],[Budget]]+Table21243[[#This Row],[Budget]])</f>
        <v>0</v>
      </c>
      <c r="C45" s="14">
        <f>SUM(Table21[[#This Row],[Actual]]+Table21144[[#This Row],[Actual]]+Table21155[[#This Row],[Actual]]+Table21166[[#This Row],[Actual]]+Table21265[[#This Row],[Actual]]+Table2167[[#This Row],[Actual]]+Table21188[[#This Row],[Actual]]+Table21199[[#This Row],[Actual]]+Table21210[[#This Row],[Actual]]+Table21221[[#This Row],[Actual]]+Table21232[[#This Row],[Actual]]+Table21243[[#This Row],[Actual]])</f>
        <v>0</v>
      </c>
      <c r="D45" s="10">
        <f t="shared" si="6"/>
        <v>0</v>
      </c>
      <c r="E45" s="8"/>
      <c r="F45" s="4" t="s">
        <v>10</v>
      </c>
      <c r="G45" s="14">
        <f>SUM(Table8[[#This Row],[Budget]]+Table8138[[#This Row],[Budget]]+Table8149[[#This Row],[Budget]]+Table8160[[#This Row],[Budget]]+Table8259[[#This Row],[Budget]]+Table861[[#This Row],[Budget]]+Table8182[[#This Row],[Budget]]+Table8193[[#This Row],[Budget]]+Table8204[[#This Row],[Budget]]+Table8215[[#This Row],[Budget]]+Table8226[[#This Row],[Budget]]+Table8237[[#This Row],[Budget]])</f>
        <v>0</v>
      </c>
      <c r="H45" s="14">
        <f>SUM(Table8[[#This Row],[Actual]]+Table8138[[#This Row],[Actual]]+Table8149[[#This Row],[Actual]]+Table8160[[#This Row],[Actual]]+Table8259[[#This Row],[Actual]]+Table861[[#This Row],[Actual]]+Table8182[[#This Row],[Actual]]+Table8193[[#This Row],[Actual]]+Table8204[[#This Row],[Actual]]+Table8215[[#This Row],[Actual]]+Table8226[[#This Row],[Actual]]+Table8237[[#This Row],[Actual]])</f>
        <v>0</v>
      </c>
      <c r="I45" s="10">
        <f>G45-H45</f>
        <v>0</v>
      </c>
    </row>
    <row r="46" spans="1:9" x14ac:dyDescent="0.35">
      <c r="A46" s="4" t="s">
        <v>54</v>
      </c>
      <c r="B46" s="14">
        <f>SUM(Table21[[#This Row],[Budget]]+Table21144[[#This Row],[Budget]]+Table21155[[#This Row],[Budget]]+Table21166[[#This Row],[Budget]]+Table21265[[#This Row],[Budget]]+Table2167[[#This Row],[Budget]]+Table21188[[#This Row],[Budget]]+Table21199[[#This Row],[Budget]]+Table21210[[#This Row],[Budget]]+Table21221[[#This Row],[Budget]]+Table21232[[#This Row],[Budget]]+Table21243[[#This Row],[Budget]])</f>
        <v>0</v>
      </c>
      <c r="C46" s="14">
        <f>SUM(Table21[[#This Row],[Actual]]+Table21144[[#This Row],[Actual]]+Table21155[[#This Row],[Actual]]+Table21166[[#This Row],[Actual]]+Table21265[[#This Row],[Actual]]+Table2167[[#This Row],[Actual]]+Table21188[[#This Row],[Actual]]+Table21199[[#This Row],[Actual]]+Table21210[[#This Row],[Actual]]+Table21221[[#This Row],[Actual]]+Table21232[[#This Row],[Actual]]+Table21243[[#This Row],[Actual]])</f>
        <v>0</v>
      </c>
      <c r="D46" s="10">
        <f t="shared" si="6"/>
        <v>0</v>
      </c>
      <c r="E46" s="8"/>
      <c r="F46" s="24" t="str">
        <f>"Total " &amp; Table8248[[#Headers],[SAVINGS]]</f>
        <v>Total SAVINGS</v>
      </c>
      <c r="G46" s="19">
        <f>SUBTOTAL(109,Table8248[Budget])</f>
        <v>0</v>
      </c>
      <c r="H46" s="19">
        <f>SUBTOTAL(109,Table8248[Actual])</f>
        <v>0</v>
      </c>
      <c r="I46" s="13">
        <f>SUBTOTAL(109,Table8248[Difference])</f>
        <v>0</v>
      </c>
    </row>
    <row r="47" spans="1:9" x14ac:dyDescent="0.35">
      <c r="A47" s="4" t="s">
        <v>55</v>
      </c>
      <c r="B47" s="14">
        <f>SUM(Table21[[#This Row],[Budget]]+Table21144[[#This Row],[Budget]]+Table21155[[#This Row],[Budget]]+Table21166[[#This Row],[Budget]]+Table21265[[#This Row],[Budget]]+Table2167[[#This Row],[Budget]]+Table21188[[#This Row],[Budget]]+Table21199[[#This Row],[Budget]]+Table21210[[#This Row],[Budget]]+Table21221[[#This Row],[Budget]]+Table21232[[#This Row],[Budget]]+Table21243[[#This Row],[Budget]])</f>
        <v>0</v>
      </c>
      <c r="C47" s="14">
        <f>SUM(Table21[[#This Row],[Actual]]+Table21144[[#This Row],[Actual]]+Table21155[[#This Row],[Actual]]+Table21166[[#This Row],[Actual]]+Table21265[[#This Row],[Actual]]+Table2167[[#This Row],[Actual]]+Table21188[[#This Row],[Actual]]+Table21199[[#This Row],[Actual]]+Table21210[[#This Row],[Actual]]+Table21221[[#This Row],[Actual]]+Table21232[[#This Row],[Actual]]+Table21243[[#This Row],[Actual]])</f>
        <v>0</v>
      </c>
      <c r="D47" s="10">
        <f t="shared" si="6"/>
        <v>0</v>
      </c>
      <c r="E47" s="8"/>
      <c r="F47" s="8"/>
      <c r="G47" s="17"/>
      <c r="H47" s="17"/>
      <c r="I47" s="17"/>
    </row>
    <row r="48" spans="1:9" x14ac:dyDescent="0.35">
      <c r="A48" s="4" t="s">
        <v>10</v>
      </c>
      <c r="B48" s="14">
        <f>SUM(Table21[[#This Row],[Budget]]+Table21144[[#This Row],[Budget]]+Table21155[[#This Row],[Budget]]+Table21166[[#This Row],[Budget]]+Table21265[[#This Row],[Budget]]+Table2167[[#This Row],[Budget]]+Table21188[[#This Row],[Budget]]+Table21199[[#This Row],[Budget]]+Table21210[[#This Row],[Budget]]+Table21221[[#This Row],[Budget]]+Table21232[[#This Row],[Budget]]+Table21243[[#This Row],[Budget]])</f>
        <v>0</v>
      </c>
      <c r="C48" s="14">
        <f>SUM(Table21[[#This Row],[Actual]]+Table21144[[#This Row],[Actual]]+Table21155[[#This Row],[Actual]]+Table21166[[#This Row],[Actual]]+Table21265[[#This Row],[Actual]]+Table2167[[#This Row],[Actual]]+Table21188[[#This Row],[Actual]]+Table21199[[#This Row],[Actual]]+Table21210[[#This Row],[Actual]]+Table21221[[#This Row],[Actual]]+Table21232[[#This Row],[Actual]]+Table21243[[#This Row],[Actual]])</f>
        <v>0</v>
      </c>
      <c r="D48" s="10">
        <f t="shared" si="6"/>
        <v>0</v>
      </c>
      <c r="E48" s="8"/>
      <c r="F48" s="21" t="s">
        <v>34</v>
      </c>
      <c r="G48" s="22" t="s">
        <v>49</v>
      </c>
      <c r="H48" s="23" t="s">
        <v>0</v>
      </c>
      <c r="I48" s="23" t="s">
        <v>46</v>
      </c>
    </row>
    <row r="49" spans="1:9" x14ac:dyDescent="0.35">
      <c r="A49" s="24" t="str">
        <f>"Total " &amp; Table21254[[#Headers],[HEALTH]]</f>
        <v>Total HEALTH</v>
      </c>
      <c r="B49" s="19">
        <f>SUBTOTAL(109,Table21254[Budget])</f>
        <v>0</v>
      </c>
      <c r="C49" s="19">
        <f>SUBTOTAL(109,Table21254[Actual])</f>
        <v>0</v>
      </c>
      <c r="D49" s="13">
        <f>SUBTOTAL(109,Table21254[Difference])</f>
        <v>0</v>
      </c>
      <c r="E49" s="8"/>
      <c r="F49" s="4" t="s">
        <v>114</v>
      </c>
      <c r="G49" s="14">
        <f>SUM(Table10[[#This Row],[Budget]]+Table10139[[#This Row],[Budget]]+Table10150[[#This Row],[Budget]]+Table10161[[#This Row],[Budget]]+Table10260[[#This Row],[Budget]]+Table1062[[#This Row],[Budget]]+Table10183[[#This Row],[Budget]]+Table10194[[#This Row],[Budget]]+Table10205[[#This Row],[Budget]]+Table10216[[#This Row],[Budget]]+Table10227[[#This Row],[Budget]]+Table10238[[#This Row],[Budget]])</f>
        <v>0</v>
      </c>
      <c r="H49" s="14">
        <f>SUM(Table10[[#This Row],[Actual]]+Table10139[[#This Row],[Actual]]+Table10150[[#This Row],[Actual]]+Table10161[[#This Row],[Actual]]+Table10260[[#This Row],[Actual]]+Table1062[[#This Row],[Actual]]+Table10183[[#This Row],[Actual]]+Table10194[[#This Row],[Actual]]+Table10205[[#This Row],[Actual]]+Table10216[[#This Row],[Actual]]+Table10227[[#This Row],[Actual]]+Table10238[[#This Row],[Actual]])</f>
        <v>0</v>
      </c>
      <c r="I49" s="10">
        <f t="shared" ref="I49:I55" si="7">G49-H49</f>
        <v>0</v>
      </c>
    </row>
    <row r="50" spans="1:9" x14ac:dyDescent="0.35">
      <c r="A50" s="8"/>
      <c r="B50" s="17"/>
      <c r="C50" s="17"/>
      <c r="D50" s="17"/>
      <c r="E50" s="8"/>
      <c r="F50" s="4" t="s">
        <v>114</v>
      </c>
      <c r="G50" s="14">
        <f>SUM(Table10[[#This Row],[Budget]]+Table10139[[#This Row],[Budget]]+Table10150[[#This Row],[Budget]]+Table10161[[#This Row],[Budget]]+Table10260[[#This Row],[Budget]]+Table1062[[#This Row],[Budget]]+Table10183[[#This Row],[Budget]]+Table10194[[#This Row],[Budget]]+Table10205[[#This Row],[Budget]]+Table10216[[#This Row],[Budget]]+Table10227[[#This Row],[Budget]]+Table10238[[#This Row],[Budget]])</f>
        <v>0</v>
      </c>
      <c r="H50" s="14">
        <f>SUM(Table10[[#This Row],[Actual]]+Table10139[[#This Row],[Actual]]+Table10150[[#This Row],[Actual]]+Table10161[[#This Row],[Actual]]+Table10260[[#This Row],[Actual]]+Table1062[[#This Row],[Actual]]+Table10183[[#This Row],[Actual]]+Table10194[[#This Row],[Actual]]+Table10205[[#This Row],[Actual]]+Table10216[[#This Row],[Actual]]+Table10227[[#This Row],[Actual]]+Table10238[[#This Row],[Actual]])</f>
        <v>0</v>
      </c>
      <c r="I50" s="10">
        <f t="shared" si="7"/>
        <v>0</v>
      </c>
    </row>
    <row r="51" spans="1:9" x14ac:dyDescent="0.35">
      <c r="A51" s="21" t="s">
        <v>45</v>
      </c>
      <c r="B51" s="22" t="s">
        <v>49</v>
      </c>
      <c r="C51" s="23" t="s">
        <v>0</v>
      </c>
      <c r="D51" s="23" t="s">
        <v>46</v>
      </c>
      <c r="E51" s="8"/>
      <c r="F51" s="4" t="s">
        <v>114</v>
      </c>
      <c r="G51" s="14">
        <f>SUM(Table10[[#This Row],[Budget]]+Table10139[[#This Row],[Budget]]+Table10150[[#This Row],[Budget]]+Table10161[[#This Row],[Budget]]+Table10260[[#This Row],[Budget]]+Table1062[[#This Row],[Budget]]+Table10183[[#This Row],[Budget]]+Table10194[[#This Row],[Budget]]+Table10205[[#This Row],[Budget]]+Table10216[[#This Row],[Budget]]+Table10227[[#This Row],[Budget]]+Table10238[[#This Row],[Budget]])</f>
        <v>0</v>
      </c>
      <c r="H51" s="14">
        <f>SUM(Table10[[#This Row],[Actual]]+Table10139[[#This Row],[Actual]]+Table10150[[#This Row],[Actual]]+Table10161[[#This Row],[Actual]]+Table10260[[#This Row],[Actual]]+Table1062[[#This Row],[Actual]]+Table10183[[#This Row],[Actual]]+Table10194[[#This Row],[Actual]]+Table10205[[#This Row],[Actual]]+Table10216[[#This Row],[Actual]]+Table10227[[#This Row],[Actual]]+Table10238[[#This Row],[Actual]])</f>
        <v>0</v>
      </c>
      <c r="I51" s="10">
        <f t="shared" si="7"/>
        <v>0</v>
      </c>
    </row>
    <row r="52" spans="1:9" x14ac:dyDescent="0.35">
      <c r="A52" s="4" t="s">
        <v>6</v>
      </c>
      <c r="B52" s="14">
        <f>SUM(Table19[[#This Row],[Budget]]+FEB!B42+MAR!B42+APR!B42+MAY!B42+JUN!B42+Table19186[[#This Row],[Budget]]+Table19197[[#This Row],[Budget]]+Table19208[[#This Row],[Budget]]+OCT!B42+NOV!B42+DEC!B42)</f>
        <v>0</v>
      </c>
      <c r="C52" s="14">
        <f>SUM(Table19[[#This Row],[Actual]]+Table19142[[#This Row],[Actual]]+Table19153[[#This Row],[Actual]]+Table19164[[#This Row],[Actual]]+Table19263[[#This Row],[Actual]]+Table1965[[#This Row],[Actual]]+Table19186[[#This Row],[Actual]]+Table19197[[#This Row],[Actual]]+Table19208[[#This Row],[Actual]]+Table19219[[#This Row],[Actual]]+Table19230[[#This Row],[Actual]]+Table19241[[#This Row],[Actual]])</f>
        <v>0</v>
      </c>
      <c r="D52" s="10">
        <f t="shared" ref="D52:D55" si="8">B52-C52</f>
        <v>0</v>
      </c>
      <c r="E52" s="8"/>
      <c r="F52" s="4" t="s">
        <v>115</v>
      </c>
      <c r="G52" s="14">
        <f>SUM(Table10[[#This Row],[Budget]]+Table10139[[#This Row],[Budget]]+Table10150[[#This Row],[Budget]]+Table10161[[#This Row],[Budget]]+Table10260[[#This Row],[Budget]]+Table1062[[#This Row],[Budget]]+Table10183[[#This Row],[Budget]]+Table10194[[#This Row],[Budget]]+Table10205[[#This Row],[Budget]]+Table10216[[#This Row],[Budget]]+Table10227[[#This Row],[Budget]]+Table10238[[#This Row],[Budget]])</f>
        <v>0</v>
      </c>
      <c r="H52" s="14">
        <f>SUM(Table10[[#This Row],[Actual]]+Table10139[[#This Row],[Actual]]+Table10150[[#This Row],[Actual]]+Table10161[[#This Row],[Actual]]+Table10260[[#This Row],[Actual]]+Table1062[[#This Row],[Actual]]+Table10183[[#This Row],[Actual]]+Table10194[[#This Row],[Actual]]+Table10205[[#This Row],[Actual]]+Table10216[[#This Row],[Actual]]+Table10227[[#This Row],[Actual]]+Table10238[[#This Row],[Actual]])</f>
        <v>0</v>
      </c>
      <c r="I52" s="10">
        <f t="shared" si="7"/>
        <v>0</v>
      </c>
    </row>
    <row r="53" spans="1:9" x14ac:dyDescent="0.35">
      <c r="A53" s="4" t="s">
        <v>27</v>
      </c>
      <c r="B53" s="14">
        <f>SUM(Table19[[#This Row],[Budget]]+FEB!B43+MAR!B43+APR!B43+MAY!B43+JUN!B43+Table19186[[#This Row],[Budget]]+Table19197[[#This Row],[Budget]]+Table19208[[#This Row],[Budget]]+OCT!B43+NOV!B43+DEC!B43)</f>
        <v>0</v>
      </c>
      <c r="C53" s="14">
        <f>SUM(Table19[[#This Row],[Actual]]+Table19142[[#This Row],[Actual]]+Table19153[[#This Row],[Actual]]+Table19164[[#This Row],[Actual]]+Table19263[[#This Row],[Actual]]+Table1965[[#This Row],[Actual]]+Table19186[[#This Row],[Actual]]+Table19197[[#This Row],[Actual]]+Table19208[[#This Row],[Actual]]+Table19219[[#This Row],[Actual]]+Table19230[[#This Row],[Actual]]+Table19241[[#This Row],[Actual]])</f>
        <v>0</v>
      </c>
      <c r="D53" s="10">
        <f t="shared" si="8"/>
        <v>0</v>
      </c>
      <c r="E53" s="8"/>
      <c r="F53" s="4" t="s">
        <v>115</v>
      </c>
      <c r="G53" s="14">
        <f>SUM(Table10[[#This Row],[Budget]]+Table10139[[#This Row],[Budget]]+Table10150[[#This Row],[Budget]]+Table10161[[#This Row],[Budget]]+Table10260[[#This Row],[Budget]]+Table1062[[#This Row],[Budget]]+Table10183[[#This Row],[Budget]]+Table10194[[#This Row],[Budget]]+Table10205[[#This Row],[Budget]]+Table10216[[#This Row],[Budget]]+Table10227[[#This Row],[Budget]]+Table10238[[#This Row],[Budget]])</f>
        <v>0</v>
      </c>
      <c r="H53" s="14">
        <f>SUM(Table10[[#This Row],[Actual]]+Table10139[[#This Row],[Actual]]+Table10150[[#This Row],[Actual]]+Table10161[[#This Row],[Actual]]+Table10260[[#This Row],[Actual]]+Table1062[[#This Row],[Actual]]+Table10183[[#This Row],[Actual]]+Table10194[[#This Row],[Actual]]+Table10205[[#This Row],[Actual]]+Table10216[[#This Row],[Actual]]+Table10227[[#This Row],[Actual]]+Table10238[[#This Row],[Actual]])</f>
        <v>0</v>
      </c>
      <c r="I53" s="10">
        <f t="shared" si="7"/>
        <v>0</v>
      </c>
    </row>
    <row r="54" spans="1:9" x14ac:dyDescent="0.35">
      <c r="A54" s="4" t="s">
        <v>28</v>
      </c>
      <c r="B54" s="14">
        <f>SUM(Table19[[#This Row],[Budget]]+FEB!B44+MAR!B44+APR!B44+MAY!B44+JUN!B44+Table19186[[#This Row],[Budget]]+Table19197[[#This Row],[Budget]]+Table19208[[#This Row],[Budget]]+OCT!B44+NOV!B44+DEC!B44)</f>
        <v>0</v>
      </c>
      <c r="C54" s="14">
        <f>SUM(Table19[[#This Row],[Actual]]+Table19142[[#This Row],[Actual]]+Table19153[[#This Row],[Actual]]+Table19164[[#This Row],[Actual]]+Table19263[[#This Row],[Actual]]+Table1965[[#This Row],[Actual]]+Table19186[[#This Row],[Actual]]+Table19197[[#This Row],[Actual]]+Table19208[[#This Row],[Actual]]+Table19219[[#This Row],[Actual]]+Table19230[[#This Row],[Actual]]+Table19241[[#This Row],[Actual]])</f>
        <v>0</v>
      </c>
      <c r="D54" s="10">
        <f t="shared" si="8"/>
        <v>0</v>
      </c>
      <c r="E54" s="8"/>
      <c r="F54" s="4" t="s">
        <v>116</v>
      </c>
      <c r="G54" s="14">
        <f>SUM(Table10[[#This Row],[Budget]]+Table10139[[#This Row],[Budget]]+Table10150[[#This Row],[Budget]]+Table10161[[#This Row],[Budget]]+Table10260[[#This Row],[Budget]]+Table1062[[#This Row],[Budget]]+Table10183[[#This Row],[Budget]]+Table10194[[#This Row],[Budget]]+Table10205[[#This Row],[Budget]]+Table10216[[#This Row],[Budget]]+Table10227[[#This Row],[Budget]]+Table10238[[#This Row],[Budget]])</f>
        <v>0</v>
      </c>
      <c r="H54" s="14">
        <f>SUM(Table10[[#This Row],[Actual]]+Table10139[[#This Row],[Actual]]+Table10150[[#This Row],[Actual]]+Table10161[[#This Row],[Actual]]+Table10260[[#This Row],[Actual]]+Table1062[[#This Row],[Actual]]+Table10183[[#This Row],[Actual]]+Table10194[[#This Row],[Actual]]+Table10205[[#This Row],[Actual]]+Table10216[[#This Row],[Actual]]+Table10227[[#This Row],[Actual]]+Table10238[[#This Row],[Actual]])</f>
        <v>0</v>
      </c>
      <c r="I54" s="10">
        <f t="shared" si="7"/>
        <v>0</v>
      </c>
    </row>
    <row r="55" spans="1:9" x14ac:dyDescent="0.35">
      <c r="A55" s="4" t="s">
        <v>10</v>
      </c>
      <c r="B55" s="14">
        <f>SUM(Table19[[#This Row],[Budget]]+FEB!B45+MAR!B45+APR!B45+MAY!B45+JUN!B45+Table19186[[#This Row],[Budget]]+Table19197[[#This Row],[Budget]]+Table19208[[#This Row],[Budget]]+OCT!B45+NOV!B45+DEC!B45)</f>
        <v>0</v>
      </c>
      <c r="C55" s="14">
        <f>SUM(Table19[[#This Row],[Actual]]+Table19142[[#This Row],[Actual]]+Table19153[[#This Row],[Actual]]+Table19164[[#This Row],[Actual]]+Table19263[[#This Row],[Actual]]+Table1965[[#This Row],[Actual]]+Table19186[[#This Row],[Actual]]+Table19197[[#This Row],[Actual]]+Table19208[[#This Row],[Actual]]+Table19219[[#This Row],[Actual]]+Table19230[[#This Row],[Actual]]+Table19241[[#This Row],[Actual]])</f>
        <v>0</v>
      </c>
      <c r="D55" s="10">
        <f t="shared" si="8"/>
        <v>0</v>
      </c>
      <c r="E55" s="8"/>
      <c r="F55" s="4" t="s">
        <v>117</v>
      </c>
      <c r="G55" s="14">
        <f>SUM(Table10[[#This Row],[Budget]]+Table10139[[#This Row],[Budget]]+Table10150[[#This Row],[Budget]]+Table10161[[#This Row],[Budget]]+Table10260[[#This Row],[Budget]]+Table1062[[#This Row],[Budget]]+Table10183[[#This Row],[Budget]]+Table10194[[#This Row],[Budget]]+Table10205[[#This Row],[Budget]]+Table10216[[#This Row],[Budget]]+Table10227[[#This Row],[Budget]]+Table10238[[#This Row],[Budget]])</f>
        <v>0</v>
      </c>
      <c r="H55" s="14">
        <f>SUM(Table10[[#This Row],[Actual]]+Table10139[[#This Row],[Actual]]+Table10150[[#This Row],[Actual]]+Table10161[[#This Row],[Actual]]+Table10260[[#This Row],[Actual]]+Table1062[[#This Row],[Actual]]+Table10183[[#This Row],[Actual]]+Table10194[[#This Row],[Actual]]+Table10205[[#This Row],[Actual]]+Table10216[[#This Row],[Actual]]+Table10227[[#This Row],[Actual]]+Table10238[[#This Row],[Actual]])</f>
        <v>0</v>
      </c>
      <c r="I55" s="10">
        <f t="shared" si="7"/>
        <v>0</v>
      </c>
    </row>
    <row r="56" spans="1:9" x14ac:dyDescent="0.35">
      <c r="A56" s="24" t="str">
        <f>"Total " &amp; Table19252[[#Headers],[CHARITY/GIFTS]]</f>
        <v>Total CHARITY/GIFTS</v>
      </c>
      <c r="B56" s="19">
        <f>SUBTOTAL(109,Table19252[Budget])</f>
        <v>0</v>
      </c>
      <c r="C56" s="19">
        <f>SUBTOTAL(109,Table19252[Actual])</f>
        <v>0</v>
      </c>
      <c r="D56" s="13">
        <f>SUBTOTAL(109,Table19252[Difference])</f>
        <v>0</v>
      </c>
      <c r="E56" s="8"/>
      <c r="F56" s="37" t="str">
        <f>"Total " &amp; Table10249[[#Headers],[OBLIGATIONS]]</f>
        <v>Total OBLIGATIONS</v>
      </c>
      <c r="G56" s="38">
        <f>SUBTOTAL(109,Table10249[Budget])</f>
        <v>0</v>
      </c>
      <c r="H56" s="38">
        <f>SUBTOTAL(109,Table10249[Actual])</f>
        <v>0</v>
      </c>
      <c r="I56" s="39">
        <f>SUBTOTAL(109,Table10249[Difference])</f>
        <v>0</v>
      </c>
    </row>
    <row r="57" spans="1:9" x14ac:dyDescent="0.35">
      <c r="A57" s="8"/>
      <c r="B57" s="17"/>
      <c r="C57" s="17"/>
      <c r="D57" s="17"/>
      <c r="E57" s="8"/>
      <c r="F57" s="8"/>
      <c r="G57" s="17"/>
      <c r="H57" s="17"/>
      <c r="I57" s="17"/>
    </row>
    <row r="58" spans="1:9" x14ac:dyDescent="0.35">
      <c r="A58" s="21" t="s">
        <v>25</v>
      </c>
      <c r="B58" s="22" t="s">
        <v>49</v>
      </c>
      <c r="C58" s="23" t="s">
        <v>0</v>
      </c>
      <c r="D58" s="23" t="s">
        <v>46</v>
      </c>
      <c r="E58" s="8"/>
      <c r="F58" s="21" t="s">
        <v>8</v>
      </c>
      <c r="G58" s="22" t="s">
        <v>49</v>
      </c>
      <c r="H58" s="23" t="s">
        <v>0</v>
      </c>
      <c r="I58" s="23" t="s">
        <v>46</v>
      </c>
    </row>
    <row r="59" spans="1:9" x14ac:dyDescent="0.35">
      <c r="A59" s="4" t="s">
        <v>19</v>
      </c>
      <c r="B59" s="14">
        <f>SUM(Table15[[#This Row],[Budget]]+Table15141[[#This Row],[Budget]]+Table15152[[#This Row],[Budget]]+Table15163[[#This Row],[Budget]]+Table15262[[#This Row],[Budget]]+Table1564[[#This Row],[Budget]]+Table15185[[#This Row],[Budget]]+Table15196[[#This Row],[Budget]]+Table15207[[#This Row],[Budget]]+Table15218[[#This Row],[Budget]]+Table15229[[#This Row],[Budget]]+Table15240[[#This Row],[Budget]])</f>
        <v>0</v>
      </c>
      <c r="C59" s="14">
        <f>SUM(Table15[[#This Row],[Actual]]+Table15141[[#This Row],[Actual]]+Table15152[[#This Row],[Actual]]+Table15163[[#This Row],[Actual]]+Table15262[[#This Row],[Actual]]+Table1564[[#This Row],[Actual]]+Table15185[[#This Row],[Actual]]+Table15185[[#This Row],[Actual]]+Table15196[[#This Row],[Actual]]+Table15207[[#This Row],[Actual]]+Table15218[[#This Row],[Actual]]+Table15229[[#This Row],[Actual]]+Table15240[[#This Row],[Actual]])</f>
        <v>0</v>
      </c>
      <c r="D59" s="10">
        <f t="shared" ref="D59:D62" si="9">B59-C59</f>
        <v>0</v>
      </c>
      <c r="E59" s="8"/>
      <c r="F59" s="4" t="s">
        <v>68</v>
      </c>
      <c r="G59" s="9">
        <f>SUM(Table14[[#This Row],[Budget]]+Table14140[[#This Row],[Budget]]+Table14151[[#This Row],[Budget]]+Table14162[[#This Row],[Budget]]+Table14261[[#This Row],[Budget]]+Table1463[[#This Row],[Budget]]+Table14184[[#This Row],[Budget]]+Table14195[[#This Row],[Budget]]+Table14206[[#This Row],[Budget]]+Table14217[[#This Row],[Budget]]+Table14228[[#This Row],[Budget]]+Table14239[[#This Row],[Budget]])</f>
        <v>0</v>
      </c>
      <c r="H59" s="9">
        <f>SUM(Table14[[#This Row],[Actual]]+Table14140[[#This Row],[Actual]]+Table14151[[#This Row],[Actual]]+Table14162[[#This Row],[Actual]]+Table14261[[#This Row],[Actual]]+Table1463[[#This Row],[Actual]]+Table14184[[#This Row],[Actual]]+Table14195[[#This Row],[Actual]]+Table14206[[#This Row],[Actual]]+Table14217[[#This Row],[Actual]]+Table14228[[#This Row],[Actual]]+Table14239[[#This Row],[Actual]])</f>
        <v>0</v>
      </c>
      <c r="I59" s="10">
        <f t="shared" ref="I59:I62" si="10">G59-H59</f>
        <v>0</v>
      </c>
    </row>
    <row r="60" spans="1:9" x14ac:dyDescent="0.35">
      <c r="A60" s="4" t="s">
        <v>20</v>
      </c>
      <c r="B60" s="14">
        <f>SUM(Table15[[#This Row],[Budget]]+Table15141[[#This Row],[Budget]]+Table15152[[#This Row],[Budget]]+Table15163[[#This Row],[Budget]]+Table15262[[#This Row],[Budget]]+Table1564[[#This Row],[Budget]]+Table15185[[#This Row],[Budget]]+Table15196[[#This Row],[Budget]]+Table15207[[#This Row],[Budget]]+Table15218[[#This Row],[Budget]]+Table15229[[#This Row],[Budget]]+Table15240[[#This Row],[Budget]])</f>
        <v>0</v>
      </c>
      <c r="C60" s="14">
        <f>SUM(Table15[[#This Row],[Actual]]+Table15141[[#This Row],[Actual]]+Table15152[[#This Row],[Actual]]+Table15163[[#This Row],[Actual]]+Table15262[[#This Row],[Actual]]+Table1564[[#This Row],[Actual]]+Table15185[[#This Row],[Actual]]+Table15185[[#This Row],[Actual]]+Table15196[[#This Row],[Actual]]+Table15207[[#This Row],[Actual]]+Table15218[[#This Row],[Actual]]+Table15229[[#This Row],[Actual]]+Table15240[[#This Row],[Actual]])</f>
        <v>0</v>
      </c>
      <c r="D60" s="10">
        <f t="shared" si="9"/>
        <v>0</v>
      </c>
      <c r="E60" s="8"/>
      <c r="F60" s="4" t="s">
        <v>72</v>
      </c>
      <c r="G60" s="9">
        <f>SUM(Table14[[#This Row],[Budget]]+Table14140[[#This Row],[Budget]]+Table14151[[#This Row],[Budget]]+Table14162[[#This Row],[Budget]]+Table14261[[#This Row],[Budget]]+Table1463[[#This Row],[Budget]]+Table14184[[#This Row],[Budget]]+Table14195[[#This Row],[Budget]]+Table14206[[#This Row],[Budget]]+Table14217[[#This Row],[Budget]]+Table14228[[#This Row],[Budget]]+Table14239[[#This Row],[Budget]])</f>
        <v>0</v>
      </c>
      <c r="H60" s="9">
        <f>SUM(Table14[[#This Row],[Actual]]+Table14140[[#This Row],[Actual]]+Table14151[[#This Row],[Actual]]+Table14162[[#This Row],[Actual]]+Table14261[[#This Row],[Actual]]+Table1463[[#This Row],[Actual]]+Table14184[[#This Row],[Actual]]+Table14195[[#This Row],[Actual]]+Table14206[[#This Row],[Actual]]+Table14217[[#This Row],[Actual]]+Table14228[[#This Row],[Actual]]+Table14239[[#This Row],[Actual]])</f>
        <v>0</v>
      </c>
      <c r="I60" s="10">
        <f t="shared" si="10"/>
        <v>0</v>
      </c>
    </row>
    <row r="61" spans="1:9" x14ac:dyDescent="0.35">
      <c r="A61" s="4" t="s">
        <v>56</v>
      </c>
      <c r="B61" s="14">
        <f>SUM(Table15[[#This Row],[Budget]]+Table15141[[#This Row],[Budget]]+Table15152[[#This Row],[Budget]]+Table15163[[#This Row],[Budget]]+Table15262[[#This Row],[Budget]]+Table1564[[#This Row],[Budget]]+Table15185[[#This Row],[Budget]]+Table15196[[#This Row],[Budget]]+Table15207[[#This Row],[Budget]]+Table15218[[#This Row],[Budget]]+Table15229[[#This Row],[Budget]]+Table15240[[#This Row],[Budget]])</f>
        <v>0</v>
      </c>
      <c r="C61" s="14">
        <f>SUM(Table15[[#This Row],[Actual]]+Table15141[[#This Row],[Actual]]+Table15152[[#This Row],[Actual]]+Table15163[[#This Row],[Actual]]+Table15262[[#This Row],[Actual]]+Table1564[[#This Row],[Actual]]+Table15185[[#This Row],[Actual]]+Table15185[[#This Row],[Actual]]+Table15196[[#This Row],[Actual]]+Table15207[[#This Row],[Actual]]+Table15218[[#This Row],[Actual]]+Table15229[[#This Row],[Actual]]+Table15240[[#This Row],[Actual]])</f>
        <v>0</v>
      </c>
      <c r="D61" s="10">
        <f t="shared" si="9"/>
        <v>0</v>
      </c>
      <c r="E61" s="8"/>
      <c r="F61" s="4" t="s">
        <v>67</v>
      </c>
      <c r="G61" s="9">
        <f>SUM(Table14[[#This Row],[Budget]]+Table14140[[#This Row],[Budget]]+Table14151[[#This Row],[Budget]]+Table14162[[#This Row],[Budget]]+Table14261[[#This Row],[Budget]]+Table1463[[#This Row],[Budget]]+Table14184[[#This Row],[Budget]]+Table14195[[#This Row],[Budget]]+Table14206[[#This Row],[Budget]]+Table14217[[#This Row],[Budget]]+Table14228[[#This Row],[Budget]]+Table14239[[#This Row],[Budget]])</f>
        <v>0</v>
      </c>
      <c r="H61" s="9">
        <f>SUM(Table14[[#This Row],[Actual]]+Table14140[[#This Row],[Actual]]+Table14151[[#This Row],[Actual]]+Table14162[[#This Row],[Actual]]+Table14261[[#This Row],[Actual]]+Table1463[[#This Row],[Actual]]+Table14184[[#This Row],[Actual]]+Table14195[[#This Row],[Actual]]+Table14206[[#This Row],[Actual]]+Table14217[[#This Row],[Actual]]+Table14228[[#This Row],[Actual]]+Table14239[[#This Row],[Actual]])</f>
        <v>0</v>
      </c>
      <c r="I61" s="10">
        <f t="shared" si="10"/>
        <v>0</v>
      </c>
    </row>
    <row r="62" spans="1:9" x14ac:dyDescent="0.35">
      <c r="A62" s="4" t="s">
        <v>10</v>
      </c>
      <c r="B62" s="14">
        <f>SUM(Table15[[#This Row],[Budget]]+Table15141[[#This Row],[Budget]]+Table15152[[#This Row],[Budget]]+Table15163[[#This Row],[Budget]]+Table15262[[#This Row],[Budget]]+Table1564[[#This Row],[Budget]]+Table15185[[#This Row],[Budget]]+Table15196[[#This Row],[Budget]]+Table15207[[#This Row],[Budget]]+Table15218[[#This Row],[Budget]]+Table15229[[#This Row],[Budget]]+Table15240[[#This Row],[Budget]])</f>
        <v>0</v>
      </c>
      <c r="C62" s="14">
        <f>SUM(Table15[[#This Row],[Actual]]+Table15141[[#This Row],[Actual]]+Table15152[[#This Row],[Actual]]+Table15163[[#This Row],[Actual]]+Table15262[[#This Row],[Actual]]+Table1564[[#This Row],[Actual]]+Table15185[[#This Row],[Actual]]+Table15185[[#This Row],[Actual]]+Table15196[[#This Row],[Actual]]+Table15207[[#This Row],[Actual]]+Table15218[[#This Row],[Actual]]+Table15229[[#This Row],[Actual]]+Table15240[[#This Row],[Actual]])</f>
        <v>0</v>
      </c>
      <c r="D62" s="10">
        <f t="shared" si="9"/>
        <v>0</v>
      </c>
      <c r="E62" s="8"/>
      <c r="F62" s="4" t="s">
        <v>10</v>
      </c>
      <c r="G62" s="14">
        <f>SUM(Table14[[#This Row],[Budget]]+Table14140[[#This Row],[Budget]]+Table14151[[#This Row],[Budget]]+Table14162[[#This Row],[Budget]]+Table14261[[#This Row],[Budget]]+Table1463[[#This Row],[Budget]]+Table14184[[#This Row],[Budget]]+Table14195[[#This Row],[Budget]]+Table14206[[#This Row],[Budget]]+Table14217[[#This Row],[Budget]]+Table14228[[#This Row],[Budget]]+Table14239[[#This Row],[Budget]])</f>
        <v>0</v>
      </c>
      <c r="H62" s="14">
        <f>SUM(Table14[[#This Row],[Actual]]+Table14140[[#This Row],[Actual]]+Table14151[[#This Row],[Actual]]+Table14162[[#This Row],[Actual]]+Table14261[[#This Row],[Actual]]+Table1463[[#This Row],[Actual]]+Table14184[[#This Row],[Actual]]+Table14195[[#This Row],[Actual]]+Table14206[[#This Row],[Actual]]+Table14217[[#This Row],[Actual]]+Table14228[[#This Row],[Actual]]+Table14239[[#This Row],[Actual]])</f>
        <v>0</v>
      </c>
      <c r="I62" s="10">
        <f t="shared" si="10"/>
        <v>0</v>
      </c>
    </row>
    <row r="63" spans="1:9" x14ac:dyDescent="0.35">
      <c r="A63" s="24" t="str">
        <f>"Total " &amp; Table15251[[#Headers],[SUBSCRIPTIONS]]</f>
        <v>Total SUBSCRIPTIONS</v>
      </c>
      <c r="B63" s="19">
        <f>SUBTOTAL(109,Table15251[Budget])</f>
        <v>0</v>
      </c>
      <c r="C63" s="19">
        <f>SUBTOTAL(109,Table15251[Actual])</f>
        <v>0</v>
      </c>
      <c r="D63" s="13">
        <f>SUBTOTAL(109,Table15251[Difference])</f>
        <v>0</v>
      </c>
      <c r="E63" s="8"/>
      <c r="F63" s="24" t="str">
        <f>"Total " &amp; Table14250[[#Headers],[MISCELLANEOUS]]</f>
        <v>Total MISCELLANEOUS</v>
      </c>
      <c r="G63" s="19">
        <f>SUBTOTAL(109,Table14250[Budget])</f>
        <v>0</v>
      </c>
      <c r="H63" s="19">
        <f>SUBTOTAL(109,Table14250[Actual])</f>
        <v>0</v>
      </c>
      <c r="I63" s="13">
        <f>SUBTOTAL(109,Table14250[Difference])</f>
        <v>0</v>
      </c>
    </row>
    <row r="64" spans="1:9" x14ac:dyDescent="0.35">
      <c r="E64" s="8"/>
      <c r="F64" s="7"/>
    </row>
    <row r="65" spans="5:6" x14ac:dyDescent="0.35">
      <c r="E65" s="8"/>
      <c r="F65" s="7"/>
    </row>
    <row r="66" spans="5:6" x14ac:dyDescent="0.35">
      <c r="E66" s="8"/>
      <c r="F66" s="7"/>
    </row>
    <row r="67" spans="5:6" x14ac:dyDescent="0.35">
      <c r="E67" s="8"/>
      <c r="F67" s="7"/>
    </row>
    <row r="68" spans="5:6" x14ac:dyDescent="0.35">
      <c r="E68" s="8"/>
      <c r="F68" s="7"/>
    </row>
    <row r="69" spans="5:6" x14ac:dyDescent="0.35">
      <c r="E69" s="8"/>
      <c r="F69" s="7"/>
    </row>
    <row r="70" spans="5:6" x14ac:dyDescent="0.35">
      <c r="E70" s="8"/>
    </row>
    <row r="71" spans="5:6" x14ac:dyDescent="0.35">
      <c r="E71" s="8"/>
    </row>
    <row r="72" spans="5:6" x14ac:dyDescent="0.35">
      <c r="E72" s="8"/>
      <c r="F72" s="7"/>
    </row>
    <row r="73" spans="5:6" x14ac:dyDescent="0.35">
      <c r="E73" s="8"/>
      <c r="F73" s="7"/>
    </row>
    <row r="74" spans="5:6" x14ac:dyDescent="0.35">
      <c r="E74" s="15"/>
      <c r="F74" s="7"/>
    </row>
    <row r="75" spans="5:6" x14ac:dyDescent="0.35">
      <c r="E75" s="16"/>
      <c r="F75" s="7"/>
    </row>
    <row r="76" spans="5:6" x14ac:dyDescent="0.35">
      <c r="E76" s="16"/>
      <c r="F76" s="7"/>
    </row>
    <row r="77" spans="5:6" x14ac:dyDescent="0.35">
      <c r="E77" s="16"/>
      <c r="F77" s="7"/>
    </row>
    <row r="78" spans="5:6" x14ac:dyDescent="0.35">
      <c r="E78" s="16"/>
      <c r="F78" s="7"/>
    </row>
    <row r="79" spans="5:6" x14ac:dyDescent="0.35">
      <c r="E79" s="8"/>
      <c r="F79" s="7"/>
    </row>
    <row r="80" spans="5:6" x14ac:dyDescent="0.35">
      <c r="E80" s="15"/>
      <c r="F80" s="7"/>
    </row>
    <row r="81" spans="5:6" x14ac:dyDescent="0.35">
      <c r="E81" s="16"/>
      <c r="F81" s="7"/>
    </row>
    <row r="82" spans="5:6" x14ac:dyDescent="0.35">
      <c r="E82" s="16"/>
    </row>
    <row r="83" spans="5:6" x14ac:dyDescent="0.35">
      <c r="E83" s="16"/>
    </row>
    <row r="84" spans="5:6" x14ac:dyDescent="0.35">
      <c r="E84" s="20" t="s">
        <v>48</v>
      </c>
    </row>
    <row r="85" spans="5:6" x14ac:dyDescent="0.35">
      <c r="E85" s="16"/>
    </row>
    <row r="86" spans="5:6" x14ac:dyDescent="0.35">
      <c r="E86" s="16"/>
    </row>
    <row r="87" spans="5:6" x14ac:dyDescent="0.35">
      <c r="E87" s="16"/>
    </row>
    <row r="88" spans="5:6" x14ac:dyDescent="0.35">
      <c r="E88" s="16"/>
    </row>
    <row r="89" spans="5:6" x14ac:dyDescent="0.35">
      <c r="E89" s="16"/>
    </row>
    <row r="90" spans="5:6" x14ac:dyDescent="0.35">
      <c r="E90" s="8"/>
    </row>
    <row r="91" spans="5:6" x14ac:dyDescent="0.35">
      <c r="E91" s="15"/>
    </row>
    <row r="92" spans="5:6" x14ac:dyDescent="0.35">
      <c r="E92" s="7"/>
    </row>
    <row r="93" spans="5:6" x14ac:dyDescent="0.35">
      <c r="E93" s="7"/>
    </row>
    <row r="94" spans="5:6" x14ac:dyDescent="0.35">
      <c r="E94" s="7"/>
    </row>
    <row r="95" spans="5:6" x14ac:dyDescent="0.35">
      <c r="E95" s="7"/>
    </row>
    <row r="96" spans="5:6" x14ac:dyDescent="0.35">
      <c r="E96" s="7"/>
    </row>
    <row r="97" spans="5:5" x14ac:dyDescent="0.35">
      <c r="E97" s="7"/>
    </row>
    <row r="98" spans="5:5" x14ac:dyDescent="0.35">
      <c r="E98" s="7"/>
    </row>
    <row r="99" spans="5:5" x14ac:dyDescent="0.35">
      <c r="E99" s="7"/>
    </row>
    <row r="100" spans="5:5" x14ac:dyDescent="0.35">
      <c r="E100" s="7"/>
    </row>
    <row r="101" spans="5:5" x14ac:dyDescent="0.35">
      <c r="E101" s="7"/>
    </row>
    <row r="122" spans="6:6" x14ac:dyDescent="0.35">
      <c r="F122" s="7"/>
    </row>
    <row r="123" spans="6:6" x14ac:dyDescent="0.35">
      <c r="F123" s="7"/>
    </row>
    <row r="124" spans="6:6" x14ac:dyDescent="0.35">
      <c r="F124" s="7"/>
    </row>
    <row r="125" spans="6:6" x14ac:dyDescent="0.35">
      <c r="F125" s="7"/>
    </row>
    <row r="126" spans="6:6" x14ac:dyDescent="0.35">
      <c r="F126" s="7"/>
    </row>
    <row r="127" spans="6:6" x14ac:dyDescent="0.35">
      <c r="F127" s="7"/>
    </row>
    <row r="128" spans="6:6" x14ac:dyDescent="0.35">
      <c r="F128" s="7"/>
    </row>
    <row r="131" spans="5:6" x14ac:dyDescent="0.35">
      <c r="F131" s="7"/>
    </row>
    <row r="132" spans="5:6" x14ac:dyDescent="0.35">
      <c r="F132" s="7"/>
    </row>
    <row r="133" spans="5:6" x14ac:dyDescent="0.35">
      <c r="F133" s="7"/>
    </row>
    <row r="134" spans="5:6" x14ac:dyDescent="0.35">
      <c r="F134" s="7"/>
    </row>
    <row r="135" spans="5:6" x14ac:dyDescent="0.35">
      <c r="F135" s="7"/>
    </row>
    <row r="136" spans="5:6" x14ac:dyDescent="0.35">
      <c r="F136" s="7"/>
    </row>
    <row r="137" spans="5:6" x14ac:dyDescent="0.35">
      <c r="F137" s="7"/>
    </row>
    <row r="141" spans="5:6" x14ac:dyDescent="0.35">
      <c r="E141" s="6"/>
    </row>
    <row r="142" spans="5:6" x14ac:dyDescent="0.35">
      <c r="E142" s="7"/>
    </row>
    <row r="143" spans="5:6" x14ac:dyDescent="0.35">
      <c r="E143" s="7"/>
    </row>
    <row r="144" spans="5:6" x14ac:dyDescent="0.35">
      <c r="E144" s="7"/>
    </row>
    <row r="145" spans="5:5" x14ac:dyDescent="0.35">
      <c r="E145" s="7"/>
    </row>
    <row r="146" spans="5:5" x14ac:dyDescent="0.35">
      <c r="E146" s="7"/>
    </row>
    <row r="147" spans="5:5" x14ac:dyDescent="0.35">
      <c r="E147" s="7"/>
    </row>
    <row r="148" spans="5:5" x14ac:dyDescent="0.35">
      <c r="E148" s="7"/>
    </row>
    <row r="150" spans="5:5" x14ac:dyDescent="0.35">
      <c r="E150" s="6"/>
    </row>
    <row r="151" spans="5:5" x14ac:dyDescent="0.35">
      <c r="E151" s="7"/>
    </row>
    <row r="152" spans="5:5" x14ac:dyDescent="0.35">
      <c r="E152" s="7"/>
    </row>
    <row r="153" spans="5:5" x14ac:dyDescent="0.35">
      <c r="E153" s="7"/>
    </row>
    <row r="154" spans="5:5" x14ac:dyDescent="0.35">
      <c r="E154" s="7"/>
    </row>
    <row r="155" spans="5:5" x14ac:dyDescent="0.35">
      <c r="E155" s="7"/>
    </row>
    <row r="156" spans="5:5" x14ac:dyDescent="0.35">
      <c r="E156" s="7"/>
    </row>
    <row r="157" spans="5:5" x14ac:dyDescent="0.35">
      <c r="E157" s="7"/>
    </row>
  </sheetData>
  <mergeCells count="1">
    <mergeCell ref="H2:I2"/>
  </mergeCells>
  <conditionalFormatting sqref="D32:D38 D52:D55 D59:D62 D16:D28 I49:I55 D5:D13 D42:D48 I11:I19 I23:I36 I40:I45 I59:I62">
    <cfRule type="cellIs" dxfId="321" priority="2" stopIfTrue="1" operator="lessThan">
      <formula>0</formula>
    </cfRule>
  </conditionalFormatting>
  <conditionalFormatting sqref="I5">
    <cfRule type="expression" dxfId="320" priority="1">
      <formula>IF(,,H5&gt;G5)</formula>
    </cfRule>
  </conditionalFormatting>
  <pageMargins left="0.7" right="0.7" top="0.75" bottom="0.75" header="0.3" footer="0.3"/>
  <tableParts count="11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6:F37"/>
  <sheetViews>
    <sheetView topLeftCell="A7" workbookViewId="0">
      <selection activeCell="D2" sqref="D2"/>
    </sheetView>
  </sheetViews>
  <sheetFormatPr defaultColWidth="9" defaultRowHeight="13.8" x14ac:dyDescent="0.25"/>
  <cols>
    <col min="1" max="2" width="9" style="45"/>
    <col min="3" max="3" width="9.59765625" style="45" customWidth="1"/>
    <col min="4" max="4" width="9.5" style="45" bestFit="1" customWidth="1"/>
    <col min="5" max="16384" width="9" style="45"/>
  </cols>
  <sheetData>
    <row r="26" spans="2:6" x14ac:dyDescent="0.25">
      <c r="B26" s="45" t="s">
        <v>102</v>
      </c>
      <c r="C26" s="46">
        <f>JAN!H5</f>
        <v>0</v>
      </c>
      <c r="D26" s="46">
        <f>JAN!H6</f>
        <v>0</v>
      </c>
      <c r="F26" s="46"/>
    </row>
    <row r="27" spans="2:6" x14ac:dyDescent="0.25">
      <c r="B27" s="45" t="s">
        <v>103</v>
      </c>
      <c r="C27" s="46">
        <f>FEB!H5</f>
        <v>0</v>
      </c>
      <c r="D27" s="46">
        <f>FEB!H6</f>
        <v>0</v>
      </c>
      <c r="F27" s="46"/>
    </row>
    <row r="28" spans="2:6" x14ac:dyDescent="0.25">
      <c r="B28" s="45" t="s">
        <v>104</v>
      </c>
      <c r="C28" s="46">
        <f>MAR!H5</f>
        <v>0</v>
      </c>
      <c r="D28" s="46">
        <f>MAR!H6</f>
        <v>0</v>
      </c>
      <c r="F28" s="46"/>
    </row>
    <row r="29" spans="2:6" x14ac:dyDescent="0.25">
      <c r="B29" s="45" t="s">
        <v>105</v>
      </c>
      <c r="C29" s="46">
        <f>APR!H5</f>
        <v>0</v>
      </c>
      <c r="D29" s="46">
        <f>APR!H6</f>
        <v>0</v>
      </c>
      <c r="F29" s="46"/>
    </row>
    <row r="30" spans="2:6" x14ac:dyDescent="0.25">
      <c r="B30" s="45" t="s">
        <v>106</v>
      </c>
      <c r="C30" s="46">
        <f>MAY!H5</f>
        <v>0</v>
      </c>
      <c r="D30" s="46">
        <f>MAY!H6</f>
        <v>0</v>
      </c>
      <c r="F30" s="46"/>
    </row>
    <row r="31" spans="2:6" x14ac:dyDescent="0.25">
      <c r="B31" s="45" t="s">
        <v>107</v>
      </c>
      <c r="C31" s="46">
        <f>JUN!H5</f>
        <v>0</v>
      </c>
      <c r="D31" s="46">
        <f>JUN!H6</f>
        <v>0</v>
      </c>
      <c r="F31" s="46"/>
    </row>
    <row r="32" spans="2:6" x14ac:dyDescent="0.25">
      <c r="B32" s="45" t="s">
        <v>108</v>
      </c>
      <c r="C32" s="46">
        <f>JUL!H5</f>
        <v>0</v>
      </c>
      <c r="D32" s="46">
        <f>JUL!H6</f>
        <v>0</v>
      </c>
      <c r="F32" s="46"/>
    </row>
    <row r="33" spans="2:6" x14ac:dyDescent="0.25">
      <c r="B33" s="45" t="s">
        <v>109</v>
      </c>
      <c r="C33" s="46">
        <f>AUG!H5</f>
        <v>0</v>
      </c>
      <c r="D33" s="46">
        <f>AUG!H6</f>
        <v>0</v>
      </c>
      <c r="F33" s="46"/>
    </row>
    <row r="34" spans="2:6" x14ac:dyDescent="0.25">
      <c r="B34" s="45" t="s">
        <v>110</v>
      </c>
      <c r="C34" s="46">
        <f>SEP!H5</f>
        <v>0</v>
      </c>
      <c r="D34" s="46">
        <f>SEP!H6</f>
        <v>0</v>
      </c>
      <c r="F34" s="46"/>
    </row>
    <row r="35" spans="2:6" x14ac:dyDescent="0.25">
      <c r="B35" s="45" t="s">
        <v>111</v>
      </c>
      <c r="C35" s="46">
        <f>OCT!H5</f>
        <v>0</v>
      </c>
      <c r="D35" s="46">
        <f>OCT!H6</f>
        <v>0</v>
      </c>
      <c r="F35" s="46"/>
    </row>
    <row r="36" spans="2:6" x14ac:dyDescent="0.25">
      <c r="B36" s="45" t="s">
        <v>112</v>
      </c>
      <c r="C36" s="46">
        <f>NOV!H5</f>
        <v>0</v>
      </c>
      <c r="D36" s="46">
        <f>NOV!H6</f>
        <v>0</v>
      </c>
      <c r="F36" s="46"/>
    </row>
    <row r="37" spans="2:6" x14ac:dyDescent="0.25">
      <c r="B37" s="45" t="s">
        <v>113</v>
      </c>
      <c r="C37" s="46">
        <f>DEC!H5</f>
        <v>0</v>
      </c>
      <c r="D37" s="46">
        <f>DEC!H6</f>
        <v>0</v>
      </c>
      <c r="F37" s="46"/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7"/>
  <sheetViews>
    <sheetView showGridLines="0" topLeftCell="A42" workbookViewId="0">
      <selection activeCell="B63" sqref="B63"/>
    </sheetView>
  </sheetViews>
  <sheetFormatPr defaultColWidth="9" defaultRowHeight="14.4" x14ac:dyDescent="0.35"/>
  <cols>
    <col min="1" max="1" width="25.3984375" style="1" customWidth="1"/>
    <col min="2" max="3" width="9.59765625" style="1" customWidth="1"/>
    <col min="4" max="4" width="10" style="1" bestFit="1" customWidth="1"/>
    <col min="5" max="5" width="2.59765625" style="1" customWidth="1"/>
    <col min="6" max="6" width="21.5" style="1" customWidth="1"/>
    <col min="7" max="8" width="9.59765625" style="1" customWidth="1"/>
    <col min="9" max="9" width="11.09765625" style="1" customWidth="1"/>
    <col min="10" max="16384" width="9" style="1"/>
  </cols>
  <sheetData>
    <row r="1" spans="1:9" ht="26.1" customHeight="1" x14ac:dyDescent="0.35">
      <c r="A1" s="34" t="s">
        <v>89</v>
      </c>
      <c r="B1" s="34"/>
      <c r="C1" s="34"/>
      <c r="D1" s="34"/>
      <c r="E1" s="34"/>
      <c r="F1" s="34"/>
      <c r="G1" s="34"/>
      <c r="H1" s="34"/>
      <c r="I1" s="34"/>
    </row>
    <row r="2" spans="1:9" s="2" customFormat="1" ht="13.8" x14ac:dyDescent="0.3">
      <c r="A2" s="35"/>
      <c r="B2" s="33"/>
      <c r="C2" s="33"/>
      <c r="D2" s="33"/>
      <c r="E2" s="31"/>
      <c r="F2" s="31"/>
      <c r="G2" s="32"/>
      <c r="H2" s="47"/>
      <c r="I2" s="47"/>
    </row>
    <row r="3" spans="1:9" s="2" customFormat="1" ht="12" x14ac:dyDescent="0.3">
      <c r="E3" s="3"/>
    </row>
    <row r="4" spans="1:9" x14ac:dyDescent="0.35">
      <c r="A4" s="21" t="s">
        <v>1</v>
      </c>
      <c r="B4" s="22" t="s">
        <v>49</v>
      </c>
      <c r="C4" s="23" t="s">
        <v>0</v>
      </c>
      <c r="D4" s="23" t="s">
        <v>46</v>
      </c>
      <c r="E4" s="18" t="s">
        <v>48</v>
      </c>
      <c r="F4" s="26" t="s">
        <v>51</v>
      </c>
      <c r="G4" s="27" t="s">
        <v>49</v>
      </c>
      <c r="H4" s="27" t="s">
        <v>0</v>
      </c>
      <c r="I4" s="27" t="s">
        <v>46</v>
      </c>
    </row>
    <row r="5" spans="1:9" x14ac:dyDescent="0.35">
      <c r="A5" s="4" t="s">
        <v>7</v>
      </c>
      <c r="B5" s="9">
        <v>0</v>
      </c>
      <c r="C5" s="9">
        <v>0</v>
      </c>
      <c r="D5" s="10">
        <f t="shared" ref="D5:D11" si="0">C5-B5</f>
        <v>0</v>
      </c>
      <c r="E5" s="8"/>
      <c r="F5" s="28" t="s">
        <v>2</v>
      </c>
      <c r="G5" s="25">
        <f>Table2135[[#Totals],[Budget]]</f>
        <v>0</v>
      </c>
      <c r="H5" s="25">
        <f>Table2135[[#Totals],[Actual]]</f>
        <v>0</v>
      </c>
      <c r="I5" s="25">
        <f>G5-H5</f>
        <v>0</v>
      </c>
    </row>
    <row r="6" spans="1:9" ht="15" thickBot="1" x14ac:dyDescent="0.4">
      <c r="A6" s="4" t="s">
        <v>119</v>
      </c>
      <c r="B6" s="9">
        <v>0</v>
      </c>
      <c r="C6" s="9">
        <v>0</v>
      </c>
      <c r="D6" s="10">
        <f t="shared" si="0"/>
        <v>0</v>
      </c>
      <c r="E6" s="8"/>
      <c r="F6" s="28" t="s">
        <v>3</v>
      </c>
      <c r="G6" s="25">
        <f>SUM(,Table5135[[#Totals],[Budget]],Table20143[[#Totals],[Budget]],Table21144[[#Totals],[Budget]],Table19142[[#Totals],[Budget]],Table15141[[#Totals],[Budget]],Table14140[[#Totals],[Budget]],Table10139[[#Totals],[Budget]],Table8138[[#Totals],[Budget]],Table7137[[#Totals],[Budget]],Table6136[[#Totals],[Budget]])</f>
        <v>0</v>
      </c>
      <c r="H6" s="25">
        <f>SUM(Table5135[[#Totals],[Actual]],Table20143[[#Totals],[Actual]],Table21144[[#Totals],[Actual]],Table19142[[#Totals],[Actual]],Table15141[[#Totals],[Actual]],Table14140[[#Totals],[Actual]],Table10139[[#Totals],[Actual]],Table8138[[#Totals],[Actual]],Table7137[[#Totals],[Actual]],Table6136[[#Totals],[Actual]])</f>
        <v>0</v>
      </c>
      <c r="I6" s="25">
        <f>G6-H6</f>
        <v>0</v>
      </c>
    </row>
    <row r="7" spans="1:9" ht="15" thickTop="1" x14ac:dyDescent="0.35">
      <c r="A7" s="4" t="s">
        <v>94</v>
      </c>
      <c r="B7" s="9">
        <v>0</v>
      </c>
      <c r="C7" s="9">
        <v>0</v>
      </c>
      <c r="D7" s="10">
        <f t="shared" si="0"/>
        <v>0</v>
      </c>
      <c r="E7" s="8"/>
      <c r="F7" s="29" t="s">
        <v>4</v>
      </c>
      <c r="G7" s="30">
        <f>G5-G6</f>
        <v>0</v>
      </c>
      <c r="H7" s="30">
        <f>H5-H6</f>
        <v>0</v>
      </c>
      <c r="I7" s="30">
        <f>H7-G7</f>
        <v>0</v>
      </c>
    </row>
    <row r="8" spans="1:9" s="2" customFormat="1" x14ac:dyDescent="0.35">
      <c r="A8" s="4" t="s">
        <v>121</v>
      </c>
      <c r="B8" s="9">
        <v>0</v>
      </c>
      <c r="C8" s="9">
        <v>0</v>
      </c>
      <c r="D8" s="10">
        <f t="shared" si="0"/>
        <v>0</v>
      </c>
      <c r="E8" s="11"/>
      <c r="F8" s="11"/>
      <c r="G8" s="11"/>
      <c r="H8" s="11"/>
      <c r="I8" s="11"/>
    </row>
    <row r="9" spans="1:9" x14ac:dyDescent="0.35">
      <c r="A9" s="4" t="s">
        <v>50</v>
      </c>
      <c r="B9" s="9">
        <v>0</v>
      </c>
      <c r="C9" s="9">
        <v>0</v>
      </c>
      <c r="D9" s="10">
        <f t="shared" si="0"/>
        <v>0</v>
      </c>
      <c r="E9" s="8"/>
      <c r="F9" s="11"/>
      <c r="G9" s="11"/>
      <c r="H9" s="11"/>
      <c r="I9" s="11"/>
    </row>
    <row r="10" spans="1:9" x14ac:dyDescent="0.35">
      <c r="A10" s="4" t="s">
        <v>47</v>
      </c>
      <c r="B10" s="9">
        <v>0</v>
      </c>
      <c r="C10" s="9">
        <v>0</v>
      </c>
      <c r="D10" s="10">
        <f t="shared" si="0"/>
        <v>0</v>
      </c>
      <c r="E10" s="8"/>
      <c r="F10" s="21" t="s">
        <v>26</v>
      </c>
      <c r="G10" s="22" t="s">
        <v>49</v>
      </c>
      <c r="H10" s="23" t="s">
        <v>0</v>
      </c>
      <c r="I10" s="23" t="s">
        <v>46</v>
      </c>
    </row>
    <row r="11" spans="1:9" x14ac:dyDescent="0.35">
      <c r="A11" s="4" t="s">
        <v>10</v>
      </c>
      <c r="B11" s="9">
        <v>0</v>
      </c>
      <c r="C11" s="9">
        <v>0</v>
      </c>
      <c r="D11" s="10">
        <f t="shared" si="0"/>
        <v>0</v>
      </c>
      <c r="E11" s="8"/>
      <c r="F11" s="4" t="s">
        <v>5</v>
      </c>
      <c r="G11" s="14">
        <v>0</v>
      </c>
      <c r="H11" s="14">
        <v>0</v>
      </c>
      <c r="I11" s="10">
        <f t="shared" ref="I11:I19" si="1">G11-H11</f>
        <v>0</v>
      </c>
    </row>
    <row r="12" spans="1:9" x14ac:dyDescent="0.35">
      <c r="A12" s="4" t="s">
        <v>77</v>
      </c>
      <c r="B12" s="12">
        <v>0</v>
      </c>
      <c r="C12" s="12">
        <v>0</v>
      </c>
      <c r="D12" s="10">
        <f>C12-B12</f>
        <v>0</v>
      </c>
      <c r="E12" s="8"/>
      <c r="F12" s="4" t="s">
        <v>69</v>
      </c>
      <c r="G12" s="14">
        <v>0</v>
      </c>
      <c r="H12" s="14">
        <v>0</v>
      </c>
      <c r="I12" s="10">
        <f t="shared" si="1"/>
        <v>0</v>
      </c>
    </row>
    <row r="13" spans="1:9" x14ac:dyDescent="0.35">
      <c r="A13" s="37" t="str">
        <f>"Total " &amp; Table2135[[#Headers],[INCOME]]</f>
        <v>Total INCOME</v>
      </c>
      <c r="B13" s="38">
        <f>SUBTOTAL(109,Table2135[Budget])</f>
        <v>0</v>
      </c>
      <c r="C13" s="38">
        <f>SUBTOTAL(109,Table2135[Actual])</f>
        <v>0</v>
      </c>
      <c r="D13" s="39">
        <f>SUBTOTAL(109,Table2135[Difference])</f>
        <v>0</v>
      </c>
      <c r="E13" s="8"/>
      <c r="F13" s="4" t="s">
        <v>92</v>
      </c>
      <c r="G13" s="14">
        <v>0</v>
      </c>
      <c r="H13" s="14">
        <v>0</v>
      </c>
      <c r="I13" s="10">
        <f t="shared" si="1"/>
        <v>0</v>
      </c>
    </row>
    <row r="14" spans="1:9" x14ac:dyDescent="0.35">
      <c r="A14" s="8"/>
      <c r="B14" s="8"/>
      <c r="C14" s="8"/>
      <c r="D14" s="8"/>
      <c r="E14" s="8"/>
      <c r="F14" s="4" t="s">
        <v>57</v>
      </c>
      <c r="G14" s="14">
        <v>0</v>
      </c>
      <c r="H14" s="14">
        <v>0</v>
      </c>
      <c r="I14" s="10">
        <f t="shared" si="1"/>
        <v>0</v>
      </c>
    </row>
    <row r="15" spans="1:9" x14ac:dyDescent="0.35">
      <c r="A15" s="21" t="s">
        <v>9</v>
      </c>
      <c r="B15" s="22" t="s">
        <v>49</v>
      </c>
      <c r="C15" s="23" t="s">
        <v>0</v>
      </c>
      <c r="D15" s="23" t="s">
        <v>46</v>
      </c>
      <c r="E15" s="8"/>
      <c r="F15" s="4" t="s">
        <v>58</v>
      </c>
      <c r="G15" s="14">
        <v>0</v>
      </c>
      <c r="H15" s="14">
        <v>0</v>
      </c>
      <c r="I15" s="10">
        <f t="shared" si="1"/>
        <v>0</v>
      </c>
    </row>
    <row r="16" spans="1:9" x14ac:dyDescent="0.35">
      <c r="A16" s="4" t="s">
        <v>63</v>
      </c>
      <c r="B16" s="9">
        <v>0</v>
      </c>
      <c r="C16" s="9">
        <v>0</v>
      </c>
      <c r="D16" s="10">
        <f>B16-C16</f>
        <v>0</v>
      </c>
      <c r="E16" s="8"/>
      <c r="F16" s="4" t="s">
        <v>40</v>
      </c>
      <c r="G16" s="14">
        <v>0</v>
      </c>
      <c r="H16" s="14">
        <v>0</v>
      </c>
      <c r="I16" s="10">
        <f t="shared" si="1"/>
        <v>0</v>
      </c>
    </row>
    <row r="17" spans="1:9" x14ac:dyDescent="0.35">
      <c r="A17" s="4" t="s">
        <v>66</v>
      </c>
      <c r="B17" s="9">
        <v>0</v>
      </c>
      <c r="C17" s="9">
        <v>0</v>
      </c>
      <c r="D17" s="10">
        <f t="shared" ref="D17:D28" si="2">B17-C17</f>
        <v>0</v>
      </c>
      <c r="E17" s="8"/>
      <c r="F17" s="4" t="s">
        <v>71</v>
      </c>
      <c r="G17" s="14">
        <v>0</v>
      </c>
      <c r="H17" s="14">
        <v>0</v>
      </c>
      <c r="I17" s="10">
        <f t="shared" si="1"/>
        <v>0</v>
      </c>
    </row>
    <row r="18" spans="1:9" x14ac:dyDescent="0.35">
      <c r="A18" s="4" t="s">
        <v>62</v>
      </c>
      <c r="B18" s="9">
        <v>0</v>
      </c>
      <c r="C18" s="9">
        <v>0</v>
      </c>
      <c r="D18" s="10">
        <f t="shared" si="2"/>
        <v>0</v>
      </c>
      <c r="E18" s="8"/>
      <c r="F18" s="4" t="s">
        <v>74</v>
      </c>
      <c r="G18" s="14">
        <v>0</v>
      </c>
      <c r="H18" s="14">
        <v>0</v>
      </c>
      <c r="I18" s="10">
        <f t="shared" si="1"/>
        <v>0</v>
      </c>
    </row>
    <row r="19" spans="1:9" x14ac:dyDescent="0.35">
      <c r="A19" s="4" t="s">
        <v>61</v>
      </c>
      <c r="B19" s="9">
        <v>0</v>
      </c>
      <c r="C19" s="9">
        <v>0</v>
      </c>
      <c r="D19" s="10">
        <f t="shared" si="2"/>
        <v>0</v>
      </c>
      <c r="E19" s="8"/>
      <c r="F19" s="4" t="s">
        <v>70</v>
      </c>
      <c r="G19" s="14">
        <v>0</v>
      </c>
      <c r="H19" s="14">
        <v>0</v>
      </c>
      <c r="I19" s="10">
        <f t="shared" si="1"/>
        <v>0</v>
      </c>
    </row>
    <row r="20" spans="1:9" s="5" customFormat="1" x14ac:dyDescent="0.35">
      <c r="A20" s="4" t="s">
        <v>64</v>
      </c>
      <c r="B20" s="9">
        <v>0</v>
      </c>
      <c r="C20" s="9">
        <v>0</v>
      </c>
      <c r="D20" s="10">
        <f t="shared" si="2"/>
        <v>0</v>
      </c>
      <c r="E20" s="8"/>
      <c r="F20" s="24" t="str">
        <f>"Total " &amp; Table6136[[#Headers],[DAILY LIVING]]</f>
        <v>Total DAILY LIVING</v>
      </c>
      <c r="G20" s="19">
        <f>SUBTOTAL(109,Table6136[Budget])</f>
        <v>0</v>
      </c>
      <c r="H20" s="19">
        <f>SUBTOTAL(109,Table6136[Actual])</f>
        <v>0</v>
      </c>
      <c r="I20" s="13">
        <f>SUBTOTAL(109,Table6136[Difference])</f>
        <v>0</v>
      </c>
    </row>
    <row r="21" spans="1:9" x14ac:dyDescent="0.35">
      <c r="A21" s="4" t="s">
        <v>118</v>
      </c>
      <c r="B21" s="9">
        <v>0</v>
      </c>
      <c r="C21" s="9">
        <v>0</v>
      </c>
      <c r="D21" s="10">
        <f t="shared" si="2"/>
        <v>0</v>
      </c>
      <c r="E21" s="8"/>
      <c r="F21" s="8"/>
      <c r="G21" s="17"/>
      <c r="H21" s="17"/>
      <c r="I21" s="17"/>
    </row>
    <row r="22" spans="1:9" x14ac:dyDescent="0.35">
      <c r="A22" s="4" t="s">
        <v>39</v>
      </c>
      <c r="B22" s="9">
        <v>0</v>
      </c>
      <c r="C22" s="9">
        <v>0</v>
      </c>
      <c r="D22" s="10">
        <f t="shared" si="2"/>
        <v>0</v>
      </c>
      <c r="E22" s="8"/>
      <c r="F22" s="21" t="s">
        <v>78</v>
      </c>
      <c r="G22" s="22" t="s">
        <v>49</v>
      </c>
      <c r="H22" s="23" t="s">
        <v>0</v>
      </c>
      <c r="I22" s="23" t="s">
        <v>46</v>
      </c>
    </row>
    <row r="23" spans="1:9" x14ac:dyDescent="0.35">
      <c r="A23" s="4" t="s">
        <v>65</v>
      </c>
      <c r="B23" s="9">
        <v>0</v>
      </c>
      <c r="C23" s="9">
        <v>0</v>
      </c>
      <c r="D23" s="10">
        <f t="shared" si="2"/>
        <v>0</v>
      </c>
      <c r="E23" s="8"/>
      <c r="F23" s="4" t="s">
        <v>93</v>
      </c>
      <c r="G23" s="14">
        <v>0</v>
      </c>
      <c r="H23" s="14">
        <v>0</v>
      </c>
      <c r="I23" s="10">
        <f t="shared" ref="I23:I36" si="3">G23-H23</f>
        <v>0</v>
      </c>
    </row>
    <row r="24" spans="1:9" x14ac:dyDescent="0.35">
      <c r="A24" s="4" t="s">
        <v>38</v>
      </c>
      <c r="B24" s="9">
        <v>0</v>
      </c>
      <c r="C24" s="9">
        <v>0</v>
      </c>
      <c r="D24" s="10">
        <f t="shared" si="2"/>
        <v>0</v>
      </c>
      <c r="E24" s="8"/>
      <c r="F24" s="4"/>
      <c r="G24" s="14">
        <v>0</v>
      </c>
      <c r="H24" s="14">
        <v>0</v>
      </c>
      <c r="I24" s="10">
        <f t="shared" si="3"/>
        <v>0</v>
      </c>
    </row>
    <row r="25" spans="1:9" x14ac:dyDescent="0.35">
      <c r="A25" s="4" t="s">
        <v>37</v>
      </c>
      <c r="B25" s="9">
        <v>0</v>
      </c>
      <c r="C25" s="9">
        <v>0</v>
      </c>
      <c r="D25" s="10">
        <f>B25-C25</f>
        <v>0</v>
      </c>
      <c r="E25" s="8"/>
      <c r="F25" s="4" t="s">
        <v>138</v>
      </c>
      <c r="G25" s="14">
        <v>0</v>
      </c>
      <c r="H25" s="14">
        <v>0</v>
      </c>
      <c r="I25" s="10">
        <f t="shared" si="3"/>
        <v>0</v>
      </c>
    </row>
    <row r="26" spans="1:9" x14ac:dyDescent="0.35">
      <c r="A26" s="4" t="s">
        <v>73</v>
      </c>
      <c r="B26" s="9">
        <v>0</v>
      </c>
      <c r="C26" s="9">
        <v>0</v>
      </c>
      <c r="D26" s="10">
        <f t="shared" si="2"/>
        <v>0</v>
      </c>
      <c r="E26" s="8"/>
      <c r="F26" s="4" t="s">
        <v>21</v>
      </c>
      <c r="G26" s="14">
        <v>0</v>
      </c>
      <c r="H26" s="14">
        <v>0</v>
      </c>
      <c r="I26" s="10">
        <f t="shared" si="3"/>
        <v>0</v>
      </c>
    </row>
    <row r="27" spans="1:9" x14ac:dyDescent="0.35">
      <c r="A27" s="36" t="s">
        <v>75</v>
      </c>
      <c r="B27" s="9">
        <v>0</v>
      </c>
      <c r="C27" s="9">
        <v>0</v>
      </c>
      <c r="D27" s="10">
        <f t="shared" si="2"/>
        <v>0</v>
      </c>
      <c r="E27" s="8"/>
      <c r="F27" s="4" t="s">
        <v>41</v>
      </c>
      <c r="G27" s="14">
        <v>0</v>
      </c>
      <c r="H27" s="14">
        <v>0</v>
      </c>
      <c r="I27" s="10">
        <f t="shared" si="3"/>
        <v>0</v>
      </c>
    </row>
    <row r="28" spans="1:9" x14ac:dyDescent="0.35">
      <c r="A28" s="4" t="s">
        <v>10</v>
      </c>
      <c r="B28" s="14">
        <v>0</v>
      </c>
      <c r="C28" s="14">
        <v>0</v>
      </c>
      <c r="D28" s="10">
        <f t="shared" si="2"/>
        <v>0</v>
      </c>
      <c r="E28" s="8"/>
      <c r="F28" s="4" t="s">
        <v>42</v>
      </c>
      <c r="G28" s="14">
        <v>0</v>
      </c>
      <c r="H28" s="14">
        <v>0</v>
      </c>
      <c r="I28" s="10">
        <f t="shared" si="3"/>
        <v>0</v>
      </c>
    </row>
    <row r="29" spans="1:9" x14ac:dyDescent="0.35">
      <c r="A29" s="24" t="str">
        <f>"Total " &amp; Table5135[[#Headers],[HOME EXPENSES]]</f>
        <v>Total HOME EXPENSES</v>
      </c>
      <c r="B29" s="19">
        <f>SUBTOTAL(109,Table5135[Budget])</f>
        <v>0</v>
      </c>
      <c r="C29" s="19">
        <f>SUBTOTAL(109,Table5135[Actual])</f>
        <v>0</v>
      </c>
      <c r="D29" s="13">
        <f>SUBTOTAL(109,Table5135[Difference])</f>
        <v>0</v>
      </c>
      <c r="E29" s="8"/>
      <c r="F29" s="4"/>
      <c r="G29" s="14">
        <v>0</v>
      </c>
      <c r="H29" s="14">
        <v>0</v>
      </c>
      <c r="I29" s="10">
        <f t="shared" si="3"/>
        <v>0</v>
      </c>
    </row>
    <row r="30" spans="1:9" x14ac:dyDescent="0.35">
      <c r="A30" s="8"/>
      <c r="B30" s="17"/>
      <c r="C30" s="17"/>
      <c r="D30" s="17"/>
      <c r="E30" s="8"/>
      <c r="F30" s="4" t="s">
        <v>23</v>
      </c>
      <c r="G30" s="14">
        <v>0</v>
      </c>
      <c r="H30" s="14">
        <v>0</v>
      </c>
      <c r="I30" s="10">
        <f t="shared" si="3"/>
        <v>0</v>
      </c>
    </row>
    <row r="31" spans="1:9" x14ac:dyDescent="0.35">
      <c r="A31" s="21" t="s">
        <v>11</v>
      </c>
      <c r="B31" s="22" t="s">
        <v>49</v>
      </c>
      <c r="C31" s="23" t="s">
        <v>0</v>
      </c>
      <c r="D31" s="23" t="s">
        <v>46</v>
      </c>
      <c r="E31" s="8"/>
      <c r="F31" s="4" t="s">
        <v>43</v>
      </c>
      <c r="G31" s="14">
        <v>0</v>
      </c>
      <c r="H31" s="14">
        <v>0</v>
      </c>
      <c r="I31" s="10">
        <f t="shared" si="3"/>
        <v>0</v>
      </c>
    </row>
    <row r="32" spans="1:9" x14ac:dyDescent="0.35">
      <c r="A32" s="4" t="s">
        <v>12</v>
      </c>
      <c r="B32" s="14">
        <v>0</v>
      </c>
      <c r="C32" s="14">
        <v>0</v>
      </c>
      <c r="D32" s="10">
        <f>B32-C32</f>
        <v>0</v>
      </c>
      <c r="E32" s="8"/>
      <c r="F32" s="4" t="s">
        <v>24</v>
      </c>
      <c r="G32" s="14">
        <v>0</v>
      </c>
      <c r="H32" s="14">
        <v>0</v>
      </c>
      <c r="I32" s="10">
        <f t="shared" si="3"/>
        <v>0</v>
      </c>
    </row>
    <row r="33" spans="1:9" x14ac:dyDescent="0.35">
      <c r="A33" s="4" t="s">
        <v>52</v>
      </c>
      <c r="B33" s="14">
        <v>0</v>
      </c>
      <c r="C33" s="14">
        <v>0</v>
      </c>
      <c r="D33" s="10">
        <f t="shared" ref="D33:D38" si="4">B33-C33</f>
        <v>0</v>
      </c>
      <c r="E33" s="8"/>
      <c r="F33" s="4" t="s">
        <v>22</v>
      </c>
      <c r="G33" s="14">
        <v>0</v>
      </c>
      <c r="H33" s="14">
        <v>0</v>
      </c>
      <c r="I33" s="10">
        <f t="shared" si="3"/>
        <v>0</v>
      </c>
    </row>
    <row r="34" spans="1:9" x14ac:dyDescent="0.35">
      <c r="A34" s="4" t="s">
        <v>13</v>
      </c>
      <c r="B34" s="14">
        <v>0</v>
      </c>
      <c r="C34" s="14">
        <v>0</v>
      </c>
      <c r="D34" s="10">
        <f>B34-C34</f>
        <v>0</v>
      </c>
      <c r="E34" s="8"/>
      <c r="F34" s="4" t="s">
        <v>44</v>
      </c>
      <c r="G34" s="14">
        <v>0</v>
      </c>
      <c r="H34" s="14">
        <v>0</v>
      </c>
      <c r="I34" s="10">
        <f t="shared" si="3"/>
        <v>0</v>
      </c>
    </row>
    <row r="35" spans="1:9" x14ac:dyDescent="0.35">
      <c r="A35" s="4" t="s">
        <v>35</v>
      </c>
      <c r="B35" s="14">
        <v>0</v>
      </c>
      <c r="C35" s="14">
        <v>0</v>
      </c>
      <c r="D35" s="10">
        <f t="shared" si="4"/>
        <v>0</v>
      </c>
      <c r="E35" s="8"/>
      <c r="F35" s="4" t="s">
        <v>59</v>
      </c>
      <c r="G35" s="14">
        <v>0</v>
      </c>
      <c r="H35" s="14">
        <v>0</v>
      </c>
      <c r="I35" s="10">
        <f t="shared" si="3"/>
        <v>0</v>
      </c>
    </row>
    <row r="36" spans="1:9" x14ac:dyDescent="0.35">
      <c r="A36" s="4" t="s">
        <v>14</v>
      </c>
      <c r="B36" s="14">
        <v>0</v>
      </c>
      <c r="C36" s="14">
        <v>0</v>
      </c>
      <c r="D36" s="10">
        <f t="shared" si="4"/>
        <v>0</v>
      </c>
      <c r="E36" s="8"/>
      <c r="F36" s="4" t="s">
        <v>76</v>
      </c>
      <c r="G36" s="14">
        <v>0</v>
      </c>
      <c r="H36" s="14">
        <v>0</v>
      </c>
      <c r="I36" s="10">
        <f t="shared" si="3"/>
        <v>0</v>
      </c>
    </row>
    <row r="37" spans="1:9" x14ac:dyDescent="0.35">
      <c r="A37" s="4" t="s">
        <v>36</v>
      </c>
      <c r="B37" s="14">
        <v>0</v>
      </c>
      <c r="C37" s="14">
        <v>0</v>
      </c>
      <c r="D37" s="10">
        <f t="shared" si="4"/>
        <v>0</v>
      </c>
      <c r="E37" s="8"/>
      <c r="F37" s="37" t="str">
        <f>"Total " &amp; Table7137[[#Headers],[Entertainment]]</f>
        <v>Total Entertainment</v>
      </c>
      <c r="G37" s="38">
        <f>SUBTOTAL(109,Table7137[Budget])</f>
        <v>0</v>
      </c>
      <c r="H37" s="38">
        <f>SUBTOTAL(109,Table7137[Actual])</f>
        <v>0</v>
      </c>
      <c r="I37" s="39">
        <f>SUBTOTAL(109,Table7137[Difference])</f>
        <v>0</v>
      </c>
    </row>
    <row r="38" spans="1:9" x14ac:dyDescent="0.35">
      <c r="A38" s="4" t="s">
        <v>10</v>
      </c>
      <c r="B38" s="14">
        <v>0</v>
      </c>
      <c r="C38" s="14">
        <v>0</v>
      </c>
      <c r="D38" s="10">
        <f t="shared" si="4"/>
        <v>0</v>
      </c>
      <c r="E38" s="8"/>
      <c r="F38" s="8"/>
      <c r="G38" s="17"/>
      <c r="H38" s="17"/>
      <c r="I38" s="17"/>
    </row>
    <row r="39" spans="1:9" x14ac:dyDescent="0.35">
      <c r="A39" s="24" t="str">
        <f>"Total " &amp; Table20143[[#Headers],[TRANSPORTATION]]</f>
        <v>Total TRANSPORTATION</v>
      </c>
      <c r="B39" s="19">
        <f>SUBTOTAL(109,Table20143[Budget])</f>
        <v>0</v>
      </c>
      <c r="C39" s="19">
        <f>SUBTOTAL(109,Table20143[Actual])</f>
        <v>0</v>
      </c>
      <c r="D39" s="13">
        <f>SUBTOTAL(109,Table20143[Difference])</f>
        <v>0</v>
      </c>
      <c r="E39" s="8"/>
      <c r="F39" s="21" t="s">
        <v>32</v>
      </c>
      <c r="G39" s="22" t="s">
        <v>49</v>
      </c>
      <c r="H39" s="23" t="s">
        <v>0</v>
      </c>
      <c r="I39" s="23" t="s">
        <v>46</v>
      </c>
    </row>
    <row r="40" spans="1:9" x14ac:dyDescent="0.35">
      <c r="A40" s="8"/>
      <c r="B40" s="17"/>
      <c r="C40" s="17"/>
      <c r="D40" s="17"/>
      <c r="E40" s="8"/>
      <c r="F40" s="4" t="s">
        <v>29</v>
      </c>
      <c r="G40" s="14">
        <v>0</v>
      </c>
      <c r="H40" s="14">
        <v>0</v>
      </c>
      <c r="I40" s="10">
        <f>G40-H40</f>
        <v>0</v>
      </c>
    </row>
    <row r="41" spans="1:9" x14ac:dyDescent="0.35">
      <c r="A41" s="21" t="s">
        <v>15</v>
      </c>
      <c r="B41" s="22" t="s">
        <v>49</v>
      </c>
      <c r="C41" s="23" t="s">
        <v>0</v>
      </c>
      <c r="D41" s="23" t="s">
        <v>46</v>
      </c>
      <c r="E41" s="8"/>
      <c r="F41" s="4" t="s">
        <v>30</v>
      </c>
      <c r="G41" s="14">
        <v>0</v>
      </c>
      <c r="H41" s="14">
        <v>0</v>
      </c>
      <c r="I41" s="10">
        <f t="shared" ref="I41:I42" si="5">G41-H41</f>
        <v>0</v>
      </c>
    </row>
    <row r="42" spans="1:9" x14ac:dyDescent="0.35">
      <c r="A42" s="4" t="s">
        <v>53</v>
      </c>
      <c r="B42" s="14">
        <v>0</v>
      </c>
      <c r="C42" s="14">
        <v>0</v>
      </c>
      <c r="D42" s="10">
        <f t="shared" ref="D42:D48" si="6">B42-C42</f>
        <v>0</v>
      </c>
      <c r="E42" s="8"/>
      <c r="F42" s="4" t="s">
        <v>33</v>
      </c>
      <c r="G42" s="14">
        <v>0</v>
      </c>
      <c r="H42" s="14">
        <v>0</v>
      </c>
      <c r="I42" s="10">
        <f t="shared" si="5"/>
        <v>0</v>
      </c>
    </row>
    <row r="43" spans="1:9" x14ac:dyDescent="0.35">
      <c r="A43" s="4" t="s">
        <v>16</v>
      </c>
      <c r="B43" s="14">
        <v>0</v>
      </c>
      <c r="C43" s="14">
        <v>0</v>
      </c>
      <c r="D43" s="10">
        <f t="shared" si="6"/>
        <v>0</v>
      </c>
      <c r="E43" s="8"/>
      <c r="F43" s="4" t="s">
        <v>31</v>
      </c>
      <c r="G43" s="14">
        <v>0</v>
      </c>
      <c r="H43" s="14">
        <v>0</v>
      </c>
      <c r="I43" s="10">
        <f>G43-H43</f>
        <v>0</v>
      </c>
    </row>
    <row r="44" spans="1:9" x14ac:dyDescent="0.35">
      <c r="A44" s="4" t="s">
        <v>17</v>
      </c>
      <c r="B44" s="14">
        <v>0</v>
      </c>
      <c r="C44" s="14">
        <v>0</v>
      </c>
      <c r="D44" s="10">
        <f t="shared" si="6"/>
        <v>0</v>
      </c>
      <c r="E44" s="8"/>
      <c r="F44" s="4" t="s">
        <v>60</v>
      </c>
      <c r="G44" s="14">
        <v>0</v>
      </c>
      <c r="H44" s="14">
        <v>0</v>
      </c>
      <c r="I44" s="10">
        <f>G44-H44</f>
        <v>0</v>
      </c>
    </row>
    <row r="45" spans="1:9" x14ac:dyDescent="0.35">
      <c r="A45" s="4" t="s">
        <v>18</v>
      </c>
      <c r="B45" s="14">
        <v>0</v>
      </c>
      <c r="C45" s="14">
        <v>0</v>
      </c>
      <c r="D45" s="10">
        <f t="shared" si="6"/>
        <v>0</v>
      </c>
      <c r="E45" s="8"/>
      <c r="F45" s="4" t="s">
        <v>10</v>
      </c>
      <c r="G45" s="14">
        <v>0</v>
      </c>
      <c r="H45" s="14">
        <v>0</v>
      </c>
      <c r="I45" s="10">
        <f>G45-H45</f>
        <v>0</v>
      </c>
    </row>
    <row r="46" spans="1:9" x14ac:dyDescent="0.35">
      <c r="A46" s="4" t="s">
        <v>54</v>
      </c>
      <c r="B46" s="14">
        <v>0</v>
      </c>
      <c r="C46" s="14">
        <v>0</v>
      </c>
      <c r="D46" s="10">
        <f t="shared" si="6"/>
        <v>0</v>
      </c>
      <c r="E46" s="8"/>
      <c r="F46" s="24" t="str">
        <f>"Total " &amp; Table8138[[#Headers],[SAVINGS]]</f>
        <v>Total SAVINGS</v>
      </c>
      <c r="G46" s="19">
        <f>SUBTOTAL(109,Table8138[Budget])</f>
        <v>0</v>
      </c>
      <c r="H46" s="19">
        <f>SUBTOTAL(109,Table8138[Actual])</f>
        <v>0</v>
      </c>
      <c r="I46" s="13">
        <f>SUBTOTAL(109,Table8138[Difference])</f>
        <v>0</v>
      </c>
    </row>
    <row r="47" spans="1:9" x14ac:dyDescent="0.35">
      <c r="A47" s="4" t="s">
        <v>55</v>
      </c>
      <c r="B47" s="14">
        <v>0</v>
      </c>
      <c r="C47" s="14">
        <v>0</v>
      </c>
      <c r="D47" s="10">
        <f t="shared" si="6"/>
        <v>0</v>
      </c>
      <c r="E47" s="8"/>
      <c r="F47" s="8"/>
      <c r="G47" s="17"/>
      <c r="H47" s="17"/>
      <c r="I47" s="17"/>
    </row>
    <row r="48" spans="1:9" x14ac:dyDescent="0.35">
      <c r="A48" s="4" t="s">
        <v>10</v>
      </c>
      <c r="B48" s="14">
        <v>0</v>
      </c>
      <c r="C48" s="14">
        <v>0</v>
      </c>
      <c r="D48" s="10">
        <f t="shared" si="6"/>
        <v>0</v>
      </c>
      <c r="E48" s="8"/>
      <c r="F48" s="21" t="s">
        <v>34</v>
      </c>
      <c r="G48" s="22" t="s">
        <v>49</v>
      </c>
      <c r="H48" s="23" t="s">
        <v>0</v>
      </c>
      <c r="I48" s="23" t="s">
        <v>46</v>
      </c>
    </row>
    <row r="49" spans="1:9" x14ac:dyDescent="0.35">
      <c r="A49" s="24" t="str">
        <f>"Total " &amp; Table21144[[#Headers],[HEALTH]]</f>
        <v>Total HEALTH</v>
      </c>
      <c r="B49" s="19">
        <f>SUBTOTAL(109,Table21144[Budget])</f>
        <v>0</v>
      </c>
      <c r="C49" s="19">
        <f>SUBTOTAL(109,Table21144[Actual])</f>
        <v>0</v>
      </c>
      <c r="D49" s="13">
        <f>SUBTOTAL(109,Table21144[Difference])</f>
        <v>0</v>
      </c>
      <c r="E49" s="8"/>
      <c r="F49" s="4" t="s">
        <v>114</v>
      </c>
      <c r="G49" s="14">
        <v>0</v>
      </c>
      <c r="H49" s="14">
        <v>0</v>
      </c>
      <c r="I49" s="10">
        <f t="shared" ref="I49:I55" si="7">G49-H49</f>
        <v>0</v>
      </c>
    </row>
    <row r="50" spans="1:9" x14ac:dyDescent="0.35">
      <c r="A50" s="8"/>
      <c r="B50" s="17"/>
      <c r="C50" s="17"/>
      <c r="D50" s="17"/>
      <c r="E50" s="8"/>
      <c r="F50" s="4" t="s">
        <v>114</v>
      </c>
      <c r="G50" s="14">
        <v>0</v>
      </c>
      <c r="H50" s="14">
        <v>0</v>
      </c>
      <c r="I50" s="10">
        <f t="shared" si="7"/>
        <v>0</v>
      </c>
    </row>
    <row r="51" spans="1:9" x14ac:dyDescent="0.35">
      <c r="A51" s="21" t="s">
        <v>45</v>
      </c>
      <c r="B51" s="22" t="s">
        <v>49</v>
      </c>
      <c r="C51" s="23" t="s">
        <v>0</v>
      </c>
      <c r="D51" s="23" t="s">
        <v>46</v>
      </c>
      <c r="E51" s="8"/>
      <c r="F51" s="4" t="s">
        <v>114</v>
      </c>
      <c r="G51" s="14">
        <v>0</v>
      </c>
      <c r="H51" s="14">
        <v>0</v>
      </c>
      <c r="I51" s="10">
        <f t="shared" si="7"/>
        <v>0</v>
      </c>
    </row>
    <row r="52" spans="1:9" x14ac:dyDescent="0.35">
      <c r="A52" s="4" t="s">
        <v>6</v>
      </c>
      <c r="B52" s="14">
        <v>0</v>
      </c>
      <c r="C52" s="14">
        <v>0</v>
      </c>
      <c r="D52" s="10">
        <f t="shared" ref="D52:D55" si="8">B52-C52</f>
        <v>0</v>
      </c>
      <c r="E52" s="8"/>
      <c r="F52" s="4" t="s">
        <v>115</v>
      </c>
      <c r="G52" s="14">
        <v>0</v>
      </c>
      <c r="H52" s="14">
        <v>0</v>
      </c>
      <c r="I52" s="10">
        <f t="shared" si="7"/>
        <v>0</v>
      </c>
    </row>
    <row r="53" spans="1:9" x14ac:dyDescent="0.35">
      <c r="A53" s="4" t="s">
        <v>27</v>
      </c>
      <c r="B53" s="14">
        <v>0</v>
      </c>
      <c r="C53" s="14">
        <v>0</v>
      </c>
      <c r="D53" s="10">
        <f t="shared" si="8"/>
        <v>0</v>
      </c>
      <c r="E53" s="8"/>
      <c r="F53" s="4" t="s">
        <v>115</v>
      </c>
      <c r="G53" s="14">
        <v>0</v>
      </c>
      <c r="H53" s="14">
        <v>0</v>
      </c>
      <c r="I53" s="10">
        <f t="shared" si="7"/>
        <v>0</v>
      </c>
    </row>
    <row r="54" spans="1:9" x14ac:dyDescent="0.35">
      <c r="A54" s="4" t="s">
        <v>28</v>
      </c>
      <c r="B54" s="14">
        <v>0</v>
      </c>
      <c r="C54" s="14">
        <v>0</v>
      </c>
      <c r="D54" s="10">
        <f t="shared" si="8"/>
        <v>0</v>
      </c>
      <c r="E54" s="8"/>
      <c r="F54" s="4" t="s">
        <v>116</v>
      </c>
      <c r="G54" s="14">
        <v>0</v>
      </c>
      <c r="H54" s="14">
        <v>0</v>
      </c>
      <c r="I54" s="10">
        <f t="shared" si="7"/>
        <v>0</v>
      </c>
    </row>
    <row r="55" spans="1:9" x14ac:dyDescent="0.35">
      <c r="A55" s="4" t="s">
        <v>10</v>
      </c>
      <c r="B55" s="14">
        <v>0</v>
      </c>
      <c r="C55" s="14">
        <v>0</v>
      </c>
      <c r="D55" s="10">
        <f t="shared" si="8"/>
        <v>0</v>
      </c>
      <c r="E55" s="8"/>
      <c r="F55" s="4" t="s">
        <v>117</v>
      </c>
      <c r="G55" s="14">
        <v>0</v>
      </c>
      <c r="H55" s="14">
        <v>0</v>
      </c>
      <c r="I55" s="10">
        <f t="shared" si="7"/>
        <v>0</v>
      </c>
    </row>
    <row r="56" spans="1:9" x14ac:dyDescent="0.35">
      <c r="A56" s="24" t="str">
        <f>"Total " &amp; Table19142[[#Headers],[CHARITY/GIFTS]]</f>
        <v>Total CHARITY/GIFTS</v>
      </c>
      <c r="B56" s="19">
        <f>SUBTOTAL(109,Table19142[Budget])</f>
        <v>0</v>
      </c>
      <c r="C56" s="19">
        <f>SUBTOTAL(109,Table19142[Actual])</f>
        <v>0</v>
      </c>
      <c r="D56" s="13">
        <f>SUBTOTAL(109,Table19142[Difference])</f>
        <v>0</v>
      </c>
      <c r="E56" s="8"/>
      <c r="F56" s="37" t="str">
        <f>"Total " &amp; Table10139[[#Headers],[OBLIGATIONS]]</f>
        <v>Total OBLIGATIONS</v>
      </c>
      <c r="G56" s="38">
        <f>SUBTOTAL(109,Table10139[Budget])</f>
        <v>0</v>
      </c>
      <c r="H56" s="38">
        <f>SUBTOTAL(109,Table10139[Actual])</f>
        <v>0</v>
      </c>
      <c r="I56" s="39">
        <f>SUBTOTAL(109,Table10139[Difference])</f>
        <v>0</v>
      </c>
    </row>
    <row r="57" spans="1:9" x14ac:dyDescent="0.35">
      <c r="A57" s="8"/>
      <c r="B57" s="17"/>
      <c r="C57" s="17"/>
      <c r="D57" s="17"/>
      <c r="E57" s="8"/>
      <c r="F57" s="8"/>
      <c r="G57" s="17"/>
      <c r="H57" s="17"/>
      <c r="I57" s="17"/>
    </row>
    <row r="58" spans="1:9" x14ac:dyDescent="0.35">
      <c r="A58" s="21" t="s">
        <v>25</v>
      </c>
      <c r="B58" s="22" t="s">
        <v>49</v>
      </c>
      <c r="C58" s="23" t="s">
        <v>0</v>
      </c>
      <c r="D58" s="23" t="s">
        <v>46</v>
      </c>
      <c r="E58" s="8"/>
      <c r="F58" s="21" t="s">
        <v>8</v>
      </c>
      <c r="G58" s="22" t="s">
        <v>49</v>
      </c>
      <c r="H58" s="23" t="s">
        <v>0</v>
      </c>
      <c r="I58" s="23" t="s">
        <v>46</v>
      </c>
    </row>
    <row r="59" spans="1:9" x14ac:dyDescent="0.35">
      <c r="A59" s="4" t="s">
        <v>19</v>
      </c>
      <c r="B59" s="14">
        <v>0</v>
      </c>
      <c r="C59" s="14">
        <v>0</v>
      </c>
      <c r="D59" s="10">
        <f t="shared" ref="D59:D62" si="9">B59-C59</f>
        <v>0</v>
      </c>
      <c r="E59" s="8"/>
      <c r="F59" s="4" t="s">
        <v>68</v>
      </c>
      <c r="G59" s="9">
        <v>0</v>
      </c>
      <c r="H59" s="9">
        <v>0</v>
      </c>
      <c r="I59" s="10">
        <f t="shared" ref="I59:I62" si="10">G59-H59</f>
        <v>0</v>
      </c>
    </row>
    <row r="60" spans="1:9" x14ac:dyDescent="0.35">
      <c r="A60" s="4" t="s">
        <v>20</v>
      </c>
      <c r="B60" s="14">
        <v>0</v>
      </c>
      <c r="C60" s="14">
        <v>0</v>
      </c>
      <c r="D60" s="10">
        <f t="shared" si="9"/>
        <v>0</v>
      </c>
      <c r="E60" s="8"/>
      <c r="F60" s="4" t="s">
        <v>72</v>
      </c>
      <c r="G60" s="9">
        <v>0</v>
      </c>
      <c r="H60" s="9">
        <v>0</v>
      </c>
      <c r="I60" s="10">
        <f t="shared" si="10"/>
        <v>0</v>
      </c>
    </row>
    <row r="61" spans="1:9" x14ac:dyDescent="0.35">
      <c r="A61" s="4" t="s">
        <v>56</v>
      </c>
      <c r="B61" s="14">
        <v>0</v>
      </c>
      <c r="C61" s="14">
        <v>0</v>
      </c>
      <c r="D61" s="10">
        <f t="shared" si="9"/>
        <v>0</v>
      </c>
      <c r="E61" s="8"/>
      <c r="F61" s="4" t="s">
        <v>67</v>
      </c>
      <c r="G61" s="9">
        <v>0</v>
      </c>
      <c r="H61" s="9">
        <v>0</v>
      </c>
      <c r="I61" s="10">
        <f t="shared" si="10"/>
        <v>0</v>
      </c>
    </row>
    <row r="62" spans="1:9" x14ac:dyDescent="0.35">
      <c r="A62" s="4" t="s">
        <v>10</v>
      </c>
      <c r="B62" s="14">
        <v>0</v>
      </c>
      <c r="C62" s="14">
        <v>0</v>
      </c>
      <c r="D62" s="10">
        <f t="shared" si="9"/>
        <v>0</v>
      </c>
      <c r="E62" s="8"/>
      <c r="F62" s="4" t="s">
        <v>10</v>
      </c>
      <c r="G62" s="14">
        <v>0</v>
      </c>
      <c r="H62" s="14">
        <v>0</v>
      </c>
      <c r="I62" s="10">
        <f t="shared" si="10"/>
        <v>0</v>
      </c>
    </row>
    <row r="63" spans="1:9" x14ac:dyDescent="0.35">
      <c r="A63" s="24" t="str">
        <f>"Total " &amp; Table15141[[#Headers],[SUBSCRIPTIONS]]</f>
        <v>Total SUBSCRIPTIONS</v>
      </c>
      <c r="B63" s="19">
        <f>SUBTOTAL(109,Table15141[Budget])</f>
        <v>0</v>
      </c>
      <c r="C63" s="19">
        <f>SUBTOTAL(109,Table15141[Actual])</f>
        <v>0</v>
      </c>
      <c r="D63" s="13">
        <f>SUBTOTAL(109,Table15141[Difference])</f>
        <v>0</v>
      </c>
      <c r="E63" s="8"/>
      <c r="F63" s="24" t="str">
        <f>"Total " &amp; Table14140[[#Headers],[MISCELLANEOUS]]</f>
        <v>Total MISCELLANEOUS</v>
      </c>
      <c r="G63" s="19">
        <f>SUBTOTAL(109,Table14140[Budget])</f>
        <v>0</v>
      </c>
      <c r="H63" s="19">
        <f>SUBTOTAL(109,Table14140[Actual])</f>
        <v>0</v>
      </c>
      <c r="I63" s="13">
        <f>SUBTOTAL(109,Table14140[Difference])</f>
        <v>0</v>
      </c>
    </row>
    <row r="64" spans="1:9" x14ac:dyDescent="0.35">
      <c r="E64" s="8"/>
      <c r="F64" s="7"/>
    </row>
    <row r="65" spans="5:6" x14ac:dyDescent="0.35">
      <c r="E65" s="8"/>
      <c r="F65" s="7"/>
    </row>
    <row r="66" spans="5:6" x14ac:dyDescent="0.35">
      <c r="E66" s="8"/>
      <c r="F66" s="7"/>
    </row>
    <row r="67" spans="5:6" x14ac:dyDescent="0.35">
      <c r="E67" s="8"/>
      <c r="F67" s="7"/>
    </row>
    <row r="68" spans="5:6" x14ac:dyDescent="0.35">
      <c r="E68" s="8"/>
      <c r="F68" s="7"/>
    </row>
    <row r="69" spans="5:6" x14ac:dyDescent="0.35">
      <c r="E69" s="8"/>
      <c r="F69" s="7"/>
    </row>
    <row r="70" spans="5:6" x14ac:dyDescent="0.35">
      <c r="E70" s="8"/>
    </row>
    <row r="71" spans="5:6" x14ac:dyDescent="0.35">
      <c r="E71" s="8"/>
    </row>
    <row r="72" spans="5:6" x14ac:dyDescent="0.35">
      <c r="E72" s="8"/>
      <c r="F72" s="7"/>
    </row>
    <row r="73" spans="5:6" x14ac:dyDescent="0.35">
      <c r="E73" s="8"/>
      <c r="F73" s="7"/>
    </row>
    <row r="74" spans="5:6" x14ac:dyDescent="0.35">
      <c r="E74" s="15"/>
      <c r="F74" s="7"/>
    </row>
    <row r="75" spans="5:6" x14ac:dyDescent="0.35">
      <c r="E75" s="16"/>
      <c r="F75" s="7"/>
    </row>
    <row r="76" spans="5:6" x14ac:dyDescent="0.35">
      <c r="E76" s="16"/>
      <c r="F76" s="7"/>
    </row>
    <row r="77" spans="5:6" x14ac:dyDescent="0.35">
      <c r="E77" s="16"/>
      <c r="F77" s="7"/>
    </row>
    <row r="78" spans="5:6" x14ac:dyDescent="0.35">
      <c r="E78" s="16"/>
      <c r="F78" s="7"/>
    </row>
    <row r="79" spans="5:6" x14ac:dyDescent="0.35">
      <c r="E79" s="8"/>
      <c r="F79" s="7"/>
    </row>
    <row r="80" spans="5:6" x14ac:dyDescent="0.35">
      <c r="E80" s="15"/>
      <c r="F80" s="7"/>
    </row>
    <row r="81" spans="5:6" x14ac:dyDescent="0.35">
      <c r="E81" s="16"/>
      <c r="F81" s="7"/>
    </row>
    <row r="82" spans="5:6" x14ac:dyDescent="0.35">
      <c r="E82" s="16"/>
    </row>
    <row r="83" spans="5:6" x14ac:dyDescent="0.35">
      <c r="E83" s="16"/>
    </row>
    <row r="84" spans="5:6" x14ac:dyDescent="0.35">
      <c r="E84" s="20" t="s">
        <v>48</v>
      </c>
    </row>
    <row r="85" spans="5:6" x14ac:dyDescent="0.35">
      <c r="E85" s="16"/>
    </row>
    <row r="86" spans="5:6" x14ac:dyDescent="0.35">
      <c r="E86" s="16"/>
    </row>
    <row r="87" spans="5:6" x14ac:dyDescent="0.35">
      <c r="E87" s="16"/>
    </row>
    <row r="88" spans="5:6" x14ac:dyDescent="0.35">
      <c r="E88" s="16"/>
    </row>
    <row r="89" spans="5:6" x14ac:dyDescent="0.35">
      <c r="E89" s="16"/>
    </row>
    <row r="90" spans="5:6" x14ac:dyDescent="0.35">
      <c r="E90" s="8"/>
    </row>
    <row r="91" spans="5:6" x14ac:dyDescent="0.35">
      <c r="E91" s="15"/>
    </row>
    <row r="92" spans="5:6" x14ac:dyDescent="0.35">
      <c r="E92" s="7"/>
    </row>
    <row r="93" spans="5:6" x14ac:dyDescent="0.35">
      <c r="E93" s="7"/>
    </row>
    <row r="94" spans="5:6" x14ac:dyDescent="0.35">
      <c r="E94" s="7"/>
    </row>
    <row r="95" spans="5:6" x14ac:dyDescent="0.35">
      <c r="E95" s="7"/>
    </row>
    <row r="96" spans="5:6" x14ac:dyDescent="0.35">
      <c r="E96" s="7"/>
    </row>
    <row r="97" spans="5:5" x14ac:dyDescent="0.35">
      <c r="E97" s="7"/>
    </row>
    <row r="98" spans="5:5" x14ac:dyDescent="0.35">
      <c r="E98" s="7"/>
    </row>
    <row r="99" spans="5:5" x14ac:dyDescent="0.35">
      <c r="E99" s="7"/>
    </row>
    <row r="100" spans="5:5" x14ac:dyDescent="0.35">
      <c r="E100" s="7"/>
    </row>
    <row r="101" spans="5:5" x14ac:dyDescent="0.35">
      <c r="E101" s="7"/>
    </row>
    <row r="122" spans="6:6" x14ac:dyDescent="0.35">
      <c r="F122" s="7"/>
    </row>
    <row r="123" spans="6:6" x14ac:dyDescent="0.35">
      <c r="F123" s="7"/>
    </row>
    <row r="124" spans="6:6" x14ac:dyDescent="0.35">
      <c r="F124" s="7"/>
    </row>
    <row r="125" spans="6:6" x14ac:dyDescent="0.35">
      <c r="F125" s="7"/>
    </row>
    <row r="126" spans="6:6" x14ac:dyDescent="0.35">
      <c r="F126" s="7"/>
    </row>
    <row r="127" spans="6:6" x14ac:dyDescent="0.35">
      <c r="F127" s="7"/>
    </row>
    <row r="128" spans="6:6" x14ac:dyDescent="0.35">
      <c r="F128" s="7"/>
    </row>
    <row r="131" spans="5:6" x14ac:dyDescent="0.35">
      <c r="F131" s="7"/>
    </row>
    <row r="132" spans="5:6" x14ac:dyDescent="0.35">
      <c r="F132" s="7"/>
    </row>
    <row r="133" spans="5:6" x14ac:dyDescent="0.35">
      <c r="F133" s="7"/>
    </row>
    <row r="134" spans="5:6" x14ac:dyDescent="0.35">
      <c r="F134" s="7"/>
    </row>
    <row r="135" spans="5:6" x14ac:dyDescent="0.35">
      <c r="F135" s="7"/>
    </row>
    <row r="136" spans="5:6" x14ac:dyDescent="0.35">
      <c r="F136" s="7"/>
    </row>
    <row r="137" spans="5:6" x14ac:dyDescent="0.35">
      <c r="F137" s="7"/>
    </row>
    <row r="141" spans="5:6" x14ac:dyDescent="0.35">
      <c r="E141" s="6"/>
    </row>
    <row r="142" spans="5:6" x14ac:dyDescent="0.35">
      <c r="E142" s="7"/>
    </row>
    <row r="143" spans="5:6" x14ac:dyDescent="0.35">
      <c r="E143" s="7"/>
    </row>
    <row r="144" spans="5:6" x14ac:dyDescent="0.35">
      <c r="E144" s="7"/>
    </row>
    <row r="145" spans="5:5" x14ac:dyDescent="0.35">
      <c r="E145" s="7"/>
    </row>
    <row r="146" spans="5:5" x14ac:dyDescent="0.35">
      <c r="E146" s="7"/>
    </row>
    <row r="147" spans="5:5" x14ac:dyDescent="0.35">
      <c r="E147" s="7"/>
    </row>
    <row r="148" spans="5:5" x14ac:dyDescent="0.35">
      <c r="E148" s="7"/>
    </row>
    <row r="150" spans="5:5" x14ac:dyDescent="0.35">
      <c r="E150" s="6"/>
    </row>
    <row r="151" spans="5:5" x14ac:dyDescent="0.35">
      <c r="E151" s="7"/>
    </row>
    <row r="152" spans="5:5" x14ac:dyDescent="0.35">
      <c r="E152" s="7"/>
    </row>
    <row r="153" spans="5:5" x14ac:dyDescent="0.35">
      <c r="E153" s="7"/>
    </row>
    <row r="154" spans="5:5" x14ac:dyDescent="0.35">
      <c r="E154" s="7"/>
    </row>
    <row r="155" spans="5:5" x14ac:dyDescent="0.35">
      <c r="E155" s="7"/>
    </row>
    <row r="156" spans="5:5" x14ac:dyDescent="0.35">
      <c r="E156" s="7"/>
    </row>
    <row r="157" spans="5:5" x14ac:dyDescent="0.35">
      <c r="E157" s="7"/>
    </row>
  </sheetData>
  <sheetProtection formatCells="0" formatColumns="0" formatRows="0" insertColumns="0" insertRows="0" insertHyperlinks="0" deleteColumns="0" deleteRows="0" sort="0" autoFilter="0" pivotTables="0"/>
  <mergeCells count="1">
    <mergeCell ref="H2:I2"/>
  </mergeCells>
  <conditionalFormatting sqref="D32:D38 D52:D55 D59:D62 D16:D28 I49:I55 D5:D13 D42:D48 I11:I19 I23:I36 I40:I45 I59:I62">
    <cfRule type="cellIs" dxfId="1724" priority="2" stopIfTrue="1" operator="lessThan">
      <formula>0</formula>
    </cfRule>
  </conditionalFormatting>
  <conditionalFormatting sqref="I5">
    <cfRule type="expression" dxfId="1723" priority="1">
      <formula>IF(,,H5&gt;G5)</formula>
    </cfRule>
  </conditionalFormatting>
  <pageMargins left="0.7" right="0.7" top="0.75" bottom="0.75" header="0.3" footer="0.3"/>
  <pageSetup orientation="portrait" horizontalDpi="4294967293" verticalDpi="4294967293" r:id="rId1"/>
  <tableParts count="11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7"/>
  <sheetViews>
    <sheetView showGridLines="0" topLeftCell="A43" workbookViewId="0">
      <selection activeCell="H73" sqref="H73"/>
    </sheetView>
  </sheetViews>
  <sheetFormatPr defaultColWidth="9" defaultRowHeight="14.4" x14ac:dyDescent="0.35"/>
  <cols>
    <col min="1" max="1" width="25.3984375" style="1" customWidth="1"/>
    <col min="2" max="3" width="9.59765625" style="1" customWidth="1"/>
    <col min="4" max="4" width="10" style="1" bestFit="1" customWidth="1"/>
    <col min="5" max="5" width="2.59765625" style="1" customWidth="1"/>
    <col min="6" max="6" width="21.5" style="1" customWidth="1"/>
    <col min="7" max="8" width="9.59765625" style="1" customWidth="1"/>
    <col min="9" max="9" width="11.09765625" style="1" customWidth="1"/>
    <col min="10" max="16384" width="9" style="1"/>
  </cols>
  <sheetData>
    <row r="1" spans="1:9" ht="26.1" customHeight="1" x14ac:dyDescent="0.35">
      <c r="A1" s="34" t="s">
        <v>88</v>
      </c>
      <c r="B1" s="34"/>
      <c r="C1" s="34"/>
      <c r="D1" s="34"/>
      <c r="E1" s="34"/>
      <c r="F1" s="34"/>
      <c r="G1" s="34"/>
      <c r="H1" s="34"/>
      <c r="I1" s="34"/>
    </row>
    <row r="2" spans="1:9" s="2" customFormat="1" ht="13.8" x14ac:dyDescent="0.3">
      <c r="A2" s="35"/>
      <c r="B2" s="33"/>
      <c r="C2" s="33"/>
      <c r="D2" s="33"/>
      <c r="E2" s="31"/>
      <c r="F2" s="31"/>
      <c r="G2" s="32"/>
      <c r="H2" s="47"/>
      <c r="I2" s="47"/>
    </row>
    <row r="3" spans="1:9" s="2" customFormat="1" ht="12" x14ac:dyDescent="0.3">
      <c r="E3" s="3"/>
    </row>
    <row r="4" spans="1:9" x14ac:dyDescent="0.35">
      <c r="A4" s="21" t="s">
        <v>1</v>
      </c>
      <c r="B4" s="22" t="s">
        <v>49</v>
      </c>
      <c r="C4" s="23" t="s">
        <v>0</v>
      </c>
      <c r="D4" s="23" t="s">
        <v>46</v>
      </c>
      <c r="E4" s="18" t="s">
        <v>48</v>
      </c>
      <c r="F4" s="26" t="s">
        <v>51</v>
      </c>
      <c r="G4" s="27" t="s">
        <v>49</v>
      </c>
      <c r="H4" s="27" t="s">
        <v>0</v>
      </c>
      <c r="I4" s="27" t="s">
        <v>46</v>
      </c>
    </row>
    <row r="5" spans="1:9" x14ac:dyDescent="0.35">
      <c r="A5" s="4" t="s">
        <v>7</v>
      </c>
      <c r="B5" s="9">
        <v>0</v>
      </c>
      <c r="C5" s="9">
        <v>0</v>
      </c>
      <c r="D5" s="10">
        <f t="shared" ref="D5:D11" si="0">C5-B5</f>
        <v>0</v>
      </c>
      <c r="E5" s="8"/>
      <c r="F5" s="28" t="s">
        <v>2</v>
      </c>
      <c r="G5" s="25">
        <f>Table2146[[#Totals],[Budget]]</f>
        <v>0</v>
      </c>
      <c r="H5" s="25">
        <f>Table2146[[#Totals],[Actual]]</f>
        <v>0</v>
      </c>
      <c r="I5" s="25">
        <f>G5-H5</f>
        <v>0</v>
      </c>
    </row>
    <row r="6" spans="1:9" ht="15" thickBot="1" x14ac:dyDescent="0.4">
      <c r="A6" s="4" t="s">
        <v>119</v>
      </c>
      <c r="B6" s="9">
        <v>0</v>
      </c>
      <c r="C6" s="9">
        <v>0</v>
      </c>
      <c r="D6" s="10">
        <f t="shared" si="0"/>
        <v>0</v>
      </c>
      <c r="E6" s="8"/>
      <c r="F6" s="28" t="s">
        <v>3</v>
      </c>
      <c r="G6" s="25">
        <f>SUM(,Table5146[[#Totals],[Budget]],Table20154[[#Totals],[Budget]],Table21155[[#Totals],[Budget]],Table19153[[#Totals],[Budget]],Table15152[[#Totals],[Budget]],Table14151[[#Totals],[Budget]],Table10150[[#Totals],[Budget]],Table8149[[#Totals],[Budget]],Table7148[[#Totals],[Budget]],Table6147[[#Totals],[Budget]])</f>
        <v>0</v>
      </c>
      <c r="H6" s="25">
        <f>SUM(Table5146[[#Totals],[Actual]],Table20154[[#Totals],[Actual]],Table21155[[#Totals],[Actual]],Table19153[[#Totals],[Actual]],Table15152[[#Totals],[Actual]],Table14151[[#Totals],[Actual]],Table10150[[#Totals],[Actual]],Table8149[[#Totals],[Actual]],Table7148[[#Totals],[Actual]],Table6147[[#Totals],[Actual]])</f>
        <v>0</v>
      </c>
      <c r="I6" s="25">
        <f>G6-H6</f>
        <v>0</v>
      </c>
    </row>
    <row r="7" spans="1:9" ht="15" thickTop="1" x14ac:dyDescent="0.35">
      <c r="A7" s="4" t="s">
        <v>94</v>
      </c>
      <c r="B7" s="9">
        <v>0</v>
      </c>
      <c r="C7" s="9">
        <v>0</v>
      </c>
      <c r="D7" s="10">
        <f t="shared" si="0"/>
        <v>0</v>
      </c>
      <c r="E7" s="8"/>
      <c r="F7" s="29" t="s">
        <v>4</v>
      </c>
      <c r="G7" s="30">
        <f>G5-G6</f>
        <v>0</v>
      </c>
      <c r="H7" s="30">
        <f>H5-H6</f>
        <v>0</v>
      </c>
      <c r="I7" s="30">
        <f>H7-G7</f>
        <v>0</v>
      </c>
    </row>
    <row r="8" spans="1:9" s="2" customFormat="1" x14ac:dyDescent="0.35">
      <c r="A8" s="4" t="s">
        <v>121</v>
      </c>
      <c r="B8" s="9">
        <v>0</v>
      </c>
      <c r="C8" s="9">
        <v>0</v>
      </c>
      <c r="D8" s="10">
        <f t="shared" si="0"/>
        <v>0</v>
      </c>
      <c r="E8" s="11"/>
      <c r="F8" s="11"/>
      <c r="G8" s="11"/>
      <c r="H8" s="11"/>
      <c r="I8" s="11"/>
    </row>
    <row r="9" spans="1:9" x14ac:dyDescent="0.35">
      <c r="A9" s="4" t="s">
        <v>50</v>
      </c>
      <c r="B9" s="9">
        <v>0</v>
      </c>
      <c r="C9" s="9">
        <v>0</v>
      </c>
      <c r="D9" s="10">
        <f t="shared" si="0"/>
        <v>0</v>
      </c>
      <c r="E9" s="8"/>
      <c r="F9" s="11"/>
      <c r="G9" s="11"/>
      <c r="H9" s="11"/>
      <c r="I9" s="11"/>
    </row>
    <row r="10" spans="1:9" x14ac:dyDescent="0.35">
      <c r="A10" s="4" t="s">
        <v>47</v>
      </c>
      <c r="B10" s="9">
        <v>0</v>
      </c>
      <c r="C10" s="9">
        <v>0</v>
      </c>
      <c r="D10" s="10">
        <f t="shared" si="0"/>
        <v>0</v>
      </c>
      <c r="E10" s="8"/>
      <c r="F10" s="21" t="s">
        <v>26</v>
      </c>
      <c r="G10" s="22" t="s">
        <v>49</v>
      </c>
      <c r="H10" s="23" t="s">
        <v>0</v>
      </c>
      <c r="I10" s="23" t="s">
        <v>46</v>
      </c>
    </row>
    <row r="11" spans="1:9" x14ac:dyDescent="0.35">
      <c r="A11" s="4" t="s">
        <v>10</v>
      </c>
      <c r="B11" s="9">
        <v>0</v>
      </c>
      <c r="C11" s="9">
        <v>0</v>
      </c>
      <c r="D11" s="10">
        <f t="shared" si="0"/>
        <v>0</v>
      </c>
      <c r="E11" s="8"/>
      <c r="F11" s="4" t="s">
        <v>5</v>
      </c>
      <c r="G11" s="14">
        <v>0</v>
      </c>
      <c r="H11" s="14">
        <v>0</v>
      </c>
      <c r="I11" s="10">
        <f t="shared" ref="I11:I19" si="1">G11-H11</f>
        <v>0</v>
      </c>
    </row>
    <row r="12" spans="1:9" x14ac:dyDescent="0.35">
      <c r="A12" s="4" t="s">
        <v>77</v>
      </c>
      <c r="B12" s="12">
        <v>0</v>
      </c>
      <c r="C12" s="12">
        <v>0</v>
      </c>
      <c r="D12" s="10">
        <f>C12-B12</f>
        <v>0</v>
      </c>
      <c r="E12" s="8"/>
      <c r="F12" s="4" t="s">
        <v>69</v>
      </c>
      <c r="G12" s="14">
        <v>0</v>
      </c>
      <c r="H12" s="14">
        <v>0</v>
      </c>
      <c r="I12" s="10">
        <f t="shared" si="1"/>
        <v>0</v>
      </c>
    </row>
    <row r="13" spans="1:9" x14ac:dyDescent="0.35">
      <c r="A13" s="37" t="str">
        <f>"Total " &amp; Table2146[[#Headers],[INCOME]]</f>
        <v>Total INCOME</v>
      </c>
      <c r="B13" s="38">
        <f>SUBTOTAL(109,Table2146[Budget])</f>
        <v>0</v>
      </c>
      <c r="C13" s="38">
        <f>SUBTOTAL(109,Table2146[Actual])</f>
        <v>0</v>
      </c>
      <c r="D13" s="39">
        <f>SUBTOTAL(109,Table2146[Difference])</f>
        <v>0</v>
      </c>
      <c r="E13" s="8"/>
      <c r="F13" s="4" t="s">
        <v>92</v>
      </c>
      <c r="G13" s="14">
        <v>0</v>
      </c>
      <c r="H13" s="14">
        <v>0</v>
      </c>
      <c r="I13" s="10">
        <f t="shared" si="1"/>
        <v>0</v>
      </c>
    </row>
    <row r="14" spans="1:9" x14ac:dyDescent="0.35">
      <c r="A14" s="8"/>
      <c r="B14" s="8"/>
      <c r="C14" s="8"/>
      <c r="D14" s="8"/>
      <c r="E14" s="8"/>
      <c r="F14" s="4" t="s">
        <v>57</v>
      </c>
      <c r="G14" s="14">
        <v>0</v>
      </c>
      <c r="H14" s="14">
        <v>0</v>
      </c>
      <c r="I14" s="10">
        <f t="shared" si="1"/>
        <v>0</v>
      </c>
    </row>
    <row r="15" spans="1:9" x14ac:dyDescent="0.35">
      <c r="A15" s="21" t="s">
        <v>9</v>
      </c>
      <c r="B15" s="22" t="s">
        <v>49</v>
      </c>
      <c r="C15" s="23" t="s">
        <v>0</v>
      </c>
      <c r="D15" s="23" t="s">
        <v>46</v>
      </c>
      <c r="E15" s="8"/>
      <c r="F15" s="4" t="s">
        <v>58</v>
      </c>
      <c r="G15" s="14">
        <v>0</v>
      </c>
      <c r="H15" s="14">
        <v>0</v>
      </c>
      <c r="I15" s="10">
        <f t="shared" si="1"/>
        <v>0</v>
      </c>
    </row>
    <row r="16" spans="1:9" x14ac:dyDescent="0.35">
      <c r="A16" s="4" t="s">
        <v>63</v>
      </c>
      <c r="B16" s="9">
        <v>0</v>
      </c>
      <c r="C16" s="9">
        <v>0</v>
      </c>
      <c r="D16" s="10">
        <f>B16-C16</f>
        <v>0</v>
      </c>
      <c r="E16" s="8"/>
      <c r="F16" s="4" t="s">
        <v>40</v>
      </c>
      <c r="G16" s="14">
        <v>0</v>
      </c>
      <c r="H16" s="14">
        <v>0</v>
      </c>
      <c r="I16" s="10">
        <f t="shared" si="1"/>
        <v>0</v>
      </c>
    </row>
    <row r="17" spans="1:9" x14ac:dyDescent="0.35">
      <c r="A17" s="4" t="s">
        <v>66</v>
      </c>
      <c r="B17" s="9">
        <v>0</v>
      </c>
      <c r="C17" s="9">
        <v>0</v>
      </c>
      <c r="D17" s="10">
        <f t="shared" ref="D17:D28" si="2">B17-C17</f>
        <v>0</v>
      </c>
      <c r="E17" s="8"/>
      <c r="F17" s="4" t="s">
        <v>71</v>
      </c>
      <c r="G17" s="14">
        <v>0</v>
      </c>
      <c r="H17" s="14">
        <v>0</v>
      </c>
      <c r="I17" s="10">
        <f t="shared" si="1"/>
        <v>0</v>
      </c>
    </row>
    <row r="18" spans="1:9" x14ac:dyDescent="0.35">
      <c r="A18" s="4" t="s">
        <v>62</v>
      </c>
      <c r="B18" s="9">
        <v>0</v>
      </c>
      <c r="C18" s="9">
        <v>0</v>
      </c>
      <c r="D18" s="10">
        <f t="shared" si="2"/>
        <v>0</v>
      </c>
      <c r="E18" s="8"/>
      <c r="F18" s="4" t="s">
        <v>74</v>
      </c>
      <c r="G18" s="14">
        <v>0</v>
      </c>
      <c r="H18" s="14">
        <v>0</v>
      </c>
      <c r="I18" s="10">
        <f t="shared" si="1"/>
        <v>0</v>
      </c>
    </row>
    <row r="19" spans="1:9" x14ac:dyDescent="0.35">
      <c r="A19" s="4" t="s">
        <v>61</v>
      </c>
      <c r="B19" s="9">
        <v>0</v>
      </c>
      <c r="C19" s="9">
        <v>0</v>
      </c>
      <c r="D19" s="10">
        <f t="shared" si="2"/>
        <v>0</v>
      </c>
      <c r="E19" s="8"/>
      <c r="F19" s="4" t="s">
        <v>70</v>
      </c>
      <c r="G19" s="14">
        <v>0</v>
      </c>
      <c r="H19" s="14">
        <v>0</v>
      </c>
      <c r="I19" s="10">
        <f t="shared" si="1"/>
        <v>0</v>
      </c>
    </row>
    <row r="20" spans="1:9" s="5" customFormat="1" x14ac:dyDescent="0.35">
      <c r="A20" s="4" t="s">
        <v>64</v>
      </c>
      <c r="B20" s="9">
        <v>0</v>
      </c>
      <c r="C20" s="9">
        <v>0</v>
      </c>
      <c r="D20" s="10">
        <f t="shared" si="2"/>
        <v>0</v>
      </c>
      <c r="E20" s="8"/>
      <c r="F20" s="37" t="str">
        <f>"Total " &amp; Table6147[[#Headers],[DAILY LIVING]]</f>
        <v>Total DAILY LIVING</v>
      </c>
      <c r="G20" s="38">
        <f>SUBTOTAL(109,Table6147[Budget])</f>
        <v>0</v>
      </c>
      <c r="H20" s="38">
        <f>SUBTOTAL(109,Table6147[Actual])</f>
        <v>0</v>
      </c>
      <c r="I20" s="39">
        <f>SUBTOTAL(109,Table6147[Difference])</f>
        <v>0</v>
      </c>
    </row>
    <row r="21" spans="1:9" x14ac:dyDescent="0.35">
      <c r="A21" s="4" t="s">
        <v>118</v>
      </c>
      <c r="B21" s="9">
        <v>0</v>
      </c>
      <c r="C21" s="9">
        <v>0</v>
      </c>
      <c r="D21" s="10">
        <f t="shared" si="2"/>
        <v>0</v>
      </c>
      <c r="E21" s="8"/>
      <c r="F21" s="8"/>
      <c r="G21" s="17"/>
      <c r="H21" s="17"/>
      <c r="I21" s="17"/>
    </row>
    <row r="22" spans="1:9" x14ac:dyDescent="0.35">
      <c r="A22" s="4" t="s">
        <v>39</v>
      </c>
      <c r="B22" s="9">
        <v>0</v>
      </c>
      <c r="C22" s="9">
        <v>0</v>
      </c>
      <c r="D22" s="10">
        <f t="shared" si="2"/>
        <v>0</v>
      </c>
      <c r="E22" s="8"/>
      <c r="F22" s="21" t="s">
        <v>78</v>
      </c>
      <c r="G22" s="22" t="s">
        <v>49</v>
      </c>
      <c r="H22" s="23" t="s">
        <v>0</v>
      </c>
      <c r="I22" s="23" t="s">
        <v>46</v>
      </c>
    </row>
    <row r="23" spans="1:9" x14ac:dyDescent="0.35">
      <c r="A23" s="4" t="s">
        <v>65</v>
      </c>
      <c r="B23" s="9">
        <v>0</v>
      </c>
      <c r="C23" s="9">
        <v>0</v>
      </c>
      <c r="D23" s="10">
        <f t="shared" si="2"/>
        <v>0</v>
      </c>
      <c r="E23" s="8"/>
      <c r="F23" s="4" t="s">
        <v>93</v>
      </c>
      <c r="G23" s="14">
        <v>0</v>
      </c>
      <c r="H23" s="14">
        <v>0</v>
      </c>
      <c r="I23" s="10">
        <f t="shared" ref="I23:I36" si="3">G23-H23</f>
        <v>0</v>
      </c>
    </row>
    <row r="24" spans="1:9" x14ac:dyDescent="0.35">
      <c r="A24" s="4" t="s">
        <v>38</v>
      </c>
      <c r="B24" s="9">
        <v>0</v>
      </c>
      <c r="C24" s="9">
        <v>0</v>
      </c>
      <c r="D24" s="10">
        <f t="shared" si="2"/>
        <v>0</v>
      </c>
      <c r="E24" s="8"/>
      <c r="F24" s="4"/>
      <c r="G24" s="14">
        <v>0</v>
      </c>
      <c r="H24" s="14">
        <v>0</v>
      </c>
      <c r="I24" s="10">
        <f t="shared" si="3"/>
        <v>0</v>
      </c>
    </row>
    <row r="25" spans="1:9" x14ac:dyDescent="0.35">
      <c r="A25" s="4" t="s">
        <v>37</v>
      </c>
      <c r="B25" s="9">
        <v>0</v>
      </c>
      <c r="C25" s="9">
        <v>0</v>
      </c>
      <c r="D25" s="10">
        <f>B25-C25</f>
        <v>0</v>
      </c>
      <c r="E25" s="8"/>
      <c r="F25" s="4"/>
      <c r="G25" s="14">
        <v>0</v>
      </c>
      <c r="H25" s="14">
        <v>0</v>
      </c>
      <c r="I25" s="10">
        <f t="shared" si="3"/>
        <v>0</v>
      </c>
    </row>
    <row r="26" spans="1:9" x14ac:dyDescent="0.35">
      <c r="A26" s="4" t="s">
        <v>73</v>
      </c>
      <c r="B26" s="9">
        <v>0</v>
      </c>
      <c r="C26" s="9">
        <v>0</v>
      </c>
      <c r="D26" s="10">
        <f t="shared" si="2"/>
        <v>0</v>
      </c>
      <c r="E26" s="8"/>
      <c r="F26" s="4" t="s">
        <v>95</v>
      </c>
      <c r="G26" s="14">
        <v>0</v>
      </c>
      <c r="H26" s="14">
        <v>0</v>
      </c>
      <c r="I26" s="10">
        <f t="shared" si="3"/>
        <v>0</v>
      </c>
    </row>
    <row r="27" spans="1:9" x14ac:dyDescent="0.35">
      <c r="A27" s="36" t="s">
        <v>75</v>
      </c>
      <c r="B27" s="9">
        <v>0</v>
      </c>
      <c r="C27" s="9">
        <v>0</v>
      </c>
      <c r="D27" s="10">
        <f t="shared" si="2"/>
        <v>0</v>
      </c>
      <c r="E27" s="8"/>
      <c r="F27" s="4" t="s">
        <v>41</v>
      </c>
      <c r="G27" s="14">
        <v>0</v>
      </c>
      <c r="H27" s="14">
        <v>0</v>
      </c>
      <c r="I27" s="10">
        <f t="shared" si="3"/>
        <v>0</v>
      </c>
    </row>
    <row r="28" spans="1:9" x14ac:dyDescent="0.35">
      <c r="A28" s="4" t="s">
        <v>10</v>
      </c>
      <c r="B28" s="14">
        <v>0</v>
      </c>
      <c r="C28" s="14">
        <v>0</v>
      </c>
      <c r="D28" s="10">
        <f t="shared" si="2"/>
        <v>0</v>
      </c>
      <c r="E28" s="8"/>
      <c r="F28" s="4" t="s">
        <v>42</v>
      </c>
      <c r="G28" s="14">
        <v>0</v>
      </c>
      <c r="H28" s="14">
        <v>0</v>
      </c>
      <c r="I28" s="10">
        <f t="shared" si="3"/>
        <v>0</v>
      </c>
    </row>
    <row r="29" spans="1:9" x14ac:dyDescent="0.35">
      <c r="A29" s="24" t="str">
        <f>"Total " &amp; Table5146[[#Headers],[HOME EXPENSES]]</f>
        <v>Total HOME EXPENSES</v>
      </c>
      <c r="B29" s="19">
        <f>SUBTOTAL(109,Table5146[Budget])</f>
        <v>0</v>
      </c>
      <c r="C29" s="19">
        <f>SUBTOTAL(109,Table5146[Actual])</f>
        <v>0</v>
      </c>
      <c r="D29" s="13">
        <f>SUBTOTAL(109,Table5146[Difference])</f>
        <v>0</v>
      </c>
      <c r="E29" s="8"/>
      <c r="F29" s="4"/>
      <c r="G29" s="14">
        <v>0</v>
      </c>
      <c r="H29" s="14">
        <v>0</v>
      </c>
      <c r="I29" s="10">
        <f t="shared" si="3"/>
        <v>0</v>
      </c>
    </row>
    <row r="30" spans="1:9" x14ac:dyDescent="0.35">
      <c r="A30" s="8"/>
      <c r="B30" s="17"/>
      <c r="C30" s="17"/>
      <c r="D30" s="17"/>
      <c r="E30" s="8"/>
      <c r="F30" s="4" t="s">
        <v>96</v>
      </c>
      <c r="G30" s="14">
        <v>0</v>
      </c>
      <c r="H30" s="14">
        <v>0</v>
      </c>
      <c r="I30" s="10">
        <f t="shared" si="3"/>
        <v>0</v>
      </c>
    </row>
    <row r="31" spans="1:9" x14ac:dyDescent="0.35">
      <c r="A31" s="21" t="s">
        <v>11</v>
      </c>
      <c r="B31" s="22" t="s">
        <v>49</v>
      </c>
      <c r="C31" s="23" t="s">
        <v>0</v>
      </c>
      <c r="D31" s="23" t="s">
        <v>46</v>
      </c>
      <c r="E31" s="8"/>
      <c r="F31" s="4" t="s">
        <v>43</v>
      </c>
      <c r="G31" s="14">
        <v>0</v>
      </c>
      <c r="H31" s="14">
        <v>0</v>
      </c>
      <c r="I31" s="10">
        <f t="shared" si="3"/>
        <v>0</v>
      </c>
    </row>
    <row r="32" spans="1:9" x14ac:dyDescent="0.35">
      <c r="A32" s="4" t="s">
        <v>12</v>
      </c>
      <c r="B32" s="14">
        <v>0</v>
      </c>
      <c r="C32" s="14">
        <v>0</v>
      </c>
      <c r="D32" s="10">
        <f>B32-C32</f>
        <v>0</v>
      </c>
      <c r="E32" s="8"/>
      <c r="F32" s="4" t="s">
        <v>24</v>
      </c>
      <c r="G32" s="14">
        <v>0</v>
      </c>
      <c r="H32" s="14">
        <v>0</v>
      </c>
      <c r="I32" s="10">
        <f t="shared" si="3"/>
        <v>0</v>
      </c>
    </row>
    <row r="33" spans="1:9" x14ac:dyDescent="0.35">
      <c r="A33" s="4" t="s">
        <v>52</v>
      </c>
      <c r="B33" s="14">
        <v>0</v>
      </c>
      <c r="C33" s="14">
        <v>0</v>
      </c>
      <c r="D33" s="10">
        <f t="shared" ref="D33:D38" si="4">B33-C33</f>
        <v>0</v>
      </c>
      <c r="E33" s="8"/>
      <c r="F33" s="4" t="s">
        <v>22</v>
      </c>
      <c r="G33" s="14">
        <v>0</v>
      </c>
      <c r="H33" s="14">
        <v>0</v>
      </c>
      <c r="I33" s="10">
        <f t="shared" si="3"/>
        <v>0</v>
      </c>
    </row>
    <row r="34" spans="1:9" x14ac:dyDescent="0.35">
      <c r="A34" s="4" t="s">
        <v>13</v>
      </c>
      <c r="B34" s="14">
        <v>0</v>
      </c>
      <c r="C34" s="14">
        <v>0</v>
      </c>
      <c r="D34" s="10">
        <f>B34-C34</f>
        <v>0</v>
      </c>
      <c r="E34" s="8"/>
      <c r="F34" s="4" t="s">
        <v>44</v>
      </c>
      <c r="G34" s="14">
        <v>0</v>
      </c>
      <c r="H34" s="14">
        <v>0</v>
      </c>
      <c r="I34" s="10">
        <f t="shared" si="3"/>
        <v>0</v>
      </c>
    </row>
    <row r="35" spans="1:9" x14ac:dyDescent="0.35">
      <c r="A35" s="4" t="s">
        <v>35</v>
      </c>
      <c r="B35" s="14">
        <v>0</v>
      </c>
      <c r="C35" s="14">
        <v>0</v>
      </c>
      <c r="D35" s="10">
        <f t="shared" si="4"/>
        <v>0</v>
      </c>
      <c r="E35" s="8"/>
      <c r="F35" s="4" t="s">
        <v>59</v>
      </c>
      <c r="G35" s="14">
        <v>0</v>
      </c>
      <c r="H35" s="14">
        <v>0</v>
      </c>
      <c r="I35" s="10">
        <f t="shared" si="3"/>
        <v>0</v>
      </c>
    </row>
    <row r="36" spans="1:9" x14ac:dyDescent="0.35">
      <c r="A36" s="4" t="s">
        <v>14</v>
      </c>
      <c r="B36" s="14">
        <v>0</v>
      </c>
      <c r="C36" s="14">
        <v>0</v>
      </c>
      <c r="D36" s="10">
        <f t="shared" si="4"/>
        <v>0</v>
      </c>
      <c r="E36" s="8"/>
      <c r="F36" s="4" t="s">
        <v>76</v>
      </c>
      <c r="G36" s="14">
        <v>0</v>
      </c>
      <c r="H36" s="14">
        <v>0</v>
      </c>
      <c r="I36" s="10">
        <f t="shared" si="3"/>
        <v>0</v>
      </c>
    </row>
    <row r="37" spans="1:9" x14ac:dyDescent="0.35">
      <c r="A37" s="4" t="s">
        <v>36</v>
      </c>
      <c r="B37" s="14">
        <v>0</v>
      </c>
      <c r="C37" s="14">
        <v>0</v>
      </c>
      <c r="D37" s="10">
        <f t="shared" si="4"/>
        <v>0</v>
      </c>
      <c r="E37" s="8"/>
      <c r="F37" s="37" t="str">
        <f>"Total " &amp; Table7148[[#Headers],[Entertainment]]</f>
        <v>Total Entertainment</v>
      </c>
      <c r="G37" s="38">
        <f>SUBTOTAL(109,Table7148[Budget])</f>
        <v>0</v>
      </c>
      <c r="H37" s="38">
        <f>SUBTOTAL(109,Table7148[Actual])</f>
        <v>0</v>
      </c>
      <c r="I37" s="39">
        <f>SUBTOTAL(109,Table7148[Difference])</f>
        <v>0</v>
      </c>
    </row>
    <row r="38" spans="1:9" x14ac:dyDescent="0.35">
      <c r="A38" s="4" t="s">
        <v>10</v>
      </c>
      <c r="B38" s="14">
        <v>0</v>
      </c>
      <c r="C38" s="14">
        <v>0</v>
      </c>
      <c r="D38" s="10">
        <f t="shared" si="4"/>
        <v>0</v>
      </c>
      <c r="E38" s="8"/>
      <c r="F38" s="8"/>
      <c r="G38" s="17"/>
      <c r="H38" s="17"/>
      <c r="I38" s="17"/>
    </row>
    <row r="39" spans="1:9" x14ac:dyDescent="0.35">
      <c r="A39" s="24" t="str">
        <f>"Total " &amp; Table20154[[#Headers],[TRANSPORTATION]]</f>
        <v>Total TRANSPORTATION</v>
      </c>
      <c r="B39" s="19" t="s">
        <v>140</v>
      </c>
      <c r="C39" s="19">
        <f>SUBTOTAL(109,Table20154[Actual])</f>
        <v>0</v>
      </c>
      <c r="D39" s="13">
        <f>SUBTOTAL(109,Table20154[Difference])</f>
        <v>0</v>
      </c>
      <c r="E39" s="8"/>
      <c r="F39" s="21" t="s">
        <v>32</v>
      </c>
      <c r="G39" s="22" t="s">
        <v>49</v>
      </c>
      <c r="H39" s="23" t="s">
        <v>0</v>
      </c>
      <c r="I39" s="23" t="s">
        <v>46</v>
      </c>
    </row>
    <row r="40" spans="1:9" x14ac:dyDescent="0.35">
      <c r="A40" s="8"/>
      <c r="B40" s="17"/>
      <c r="C40" s="17"/>
      <c r="D40" s="17"/>
      <c r="E40" s="8"/>
      <c r="F40" s="4" t="s">
        <v>29</v>
      </c>
      <c r="G40" s="14">
        <v>0</v>
      </c>
      <c r="H40" s="14">
        <v>0</v>
      </c>
      <c r="I40" s="10">
        <f>G40-H40</f>
        <v>0</v>
      </c>
    </row>
    <row r="41" spans="1:9" x14ac:dyDescent="0.35">
      <c r="A41" s="21" t="s">
        <v>15</v>
      </c>
      <c r="B41" s="22" t="s">
        <v>49</v>
      </c>
      <c r="C41" s="23" t="s">
        <v>0</v>
      </c>
      <c r="D41" s="23" t="s">
        <v>46</v>
      </c>
      <c r="E41" s="8"/>
      <c r="F41" s="4" t="s">
        <v>30</v>
      </c>
      <c r="G41" s="14">
        <v>0</v>
      </c>
      <c r="H41" s="14">
        <v>0</v>
      </c>
      <c r="I41" s="10">
        <f t="shared" ref="I41:I42" si="5">G41-H41</f>
        <v>0</v>
      </c>
    </row>
    <row r="42" spans="1:9" x14ac:dyDescent="0.35">
      <c r="A42" s="4" t="s">
        <v>53</v>
      </c>
      <c r="B42" s="14">
        <v>0</v>
      </c>
      <c r="C42" s="14">
        <v>0</v>
      </c>
      <c r="D42" s="10">
        <f t="shared" ref="D42:D48" si="6">B42-C42</f>
        <v>0</v>
      </c>
      <c r="E42" s="8"/>
      <c r="F42" s="4" t="s">
        <v>33</v>
      </c>
      <c r="G42" s="14">
        <v>0</v>
      </c>
      <c r="H42" s="14">
        <v>0</v>
      </c>
      <c r="I42" s="10">
        <f t="shared" si="5"/>
        <v>0</v>
      </c>
    </row>
    <row r="43" spans="1:9" x14ac:dyDescent="0.35">
      <c r="A43" s="4" t="s">
        <v>16</v>
      </c>
      <c r="B43" s="14">
        <v>0</v>
      </c>
      <c r="C43" s="14">
        <v>0</v>
      </c>
      <c r="D43" s="10">
        <f t="shared" si="6"/>
        <v>0</v>
      </c>
      <c r="E43" s="8"/>
      <c r="F43" s="4" t="s">
        <v>31</v>
      </c>
      <c r="G43" s="14">
        <v>0</v>
      </c>
      <c r="H43" s="14">
        <v>0</v>
      </c>
      <c r="I43" s="10">
        <f>G43-H43</f>
        <v>0</v>
      </c>
    </row>
    <row r="44" spans="1:9" x14ac:dyDescent="0.35">
      <c r="A44" s="4" t="s">
        <v>17</v>
      </c>
      <c r="B44" s="14">
        <v>0</v>
      </c>
      <c r="C44" s="14">
        <v>0</v>
      </c>
      <c r="D44" s="10">
        <f t="shared" si="6"/>
        <v>0</v>
      </c>
      <c r="E44" s="8"/>
      <c r="F44" s="4" t="s">
        <v>60</v>
      </c>
      <c r="G44" s="14">
        <v>0</v>
      </c>
      <c r="H44" s="14">
        <v>0</v>
      </c>
      <c r="I44" s="10">
        <f>G44-H44</f>
        <v>0</v>
      </c>
    </row>
    <row r="45" spans="1:9" x14ac:dyDescent="0.35">
      <c r="A45" s="4" t="s">
        <v>18</v>
      </c>
      <c r="B45" s="14">
        <v>0</v>
      </c>
      <c r="C45" s="14">
        <v>0</v>
      </c>
      <c r="D45" s="10">
        <f t="shared" si="6"/>
        <v>0</v>
      </c>
      <c r="E45" s="8"/>
      <c r="F45" s="4" t="s">
        <v>10</v>
      </c>
      <c r="G45" s="14">
        <v>0</v>
      </c>
      <c r="H45" s="14">
        <v>0</v>
      </c>
      <c r="I45" s="10">
        <f>G45-H45</f>
        <v>0</v>
      </c>
    </row>
    <row r="46" spans="1:9" x14ac:dyDescent="0.35">
      <c r="A46" s="4" t="s">
        <v>54</v>
      </c>
      <c r="B46" s="14">
        <v>0</v>
      </c>
      <c r="C46" s="14">
        <v>0</v>
      </c>
      <c r="D46" s="10">
        <f t="shared" si="6"/>
        <v>0</v>
      </c>
      <c r="E46" s="8"/>
      <c r="F46" s="24" t="str">
        <f>"Total " &amp; Table8149[[#Headers],[SAVINGS]]</f>
        <v>Total SAVINGS</v>
      </c>
      <c r="G46" s="19">
        <f>SUBTOTAL(109,Table8149[Budget])</f>
        <v>0</v>
      </c>
      <c r="H46" s="19">
        <f>SUBTOTAL(109,Table8149[Actual])</f>
        <v>0</v>
      </c>
      <c r="I46" s="13">
        <f>SUBTOTAL(109,Table8149[Difference])</f>
        <v>0</v>
      </c>
    </row>
    <row r="47" spans="1:9" x14ac:dyDescent="0.35">
      <c r="A47" s="4" t="s">
        <v>55</v>
      </c>
      <c r="B47" s="14">
        <v>0</v>
      </c>
      <c r="C47" s="14">
        <v>0</v>
      </c>
      <c r="D47" s="10">
        <f t="shared" si="6"/>
        <v>0</v>
      </c>
      <c r="E47" s="8"/>
      <c r="F47" s="8"/>
      <c r="G47" s="17"/>
      <c r="H47" s="17"/>
      <c r="I47" s="17"/>
    </row>
    <row r="48" spans="1:9" x14ac:dyDescent="0.35">
      <c r="A48" s="4" t="s">
        <v>10</v>
      </c>
      <c r="B48" s="14">
        <v>0</v>
      </c>
      <c r="C48" s="14">
        <v>0</v>
      </c>
      <c r="D48" s="10">
        <f t="shared" si="6"/>
        <v>0</v>
      </c>
      <c r="E48" s="8"/>
      <c r="F48" s="21" t="s">
        <v>34</v>
      </c>
      <c r="G48" s="22" t="s">
        <v>49</v>
      </c>
      <c r="H48" s="23" t="s">
        <v>0</v>
      </c>
      <c r="I48" s="23" t="s">
        <v>46</v>
      </c>
    </row>
    <row r="49" spans="1:9" x14ac:dyDescent="0.35">
      <c r="A49" s="24" t="str">
        <f>"Total " &amp; Table21155[[#Headers],[HEALTH]]</f>
        <v>Total HEALTH</v>
      </c>
      <c r="B49" s="19">
        <f>SUBTOTAL(109,Table21155[Budget])</f>
        <v>0</v>
      </c>
      <c r="C49" s="19">
        <f>SUBTOTAL(109,Table21155[Actual])</f>
        <v>0</v>
      </c>
      <c r="D49" s="13">
        <f>SUBTOTAL(109,Table21155[Difference])</f>
        <v>0</v>
      </c>
      <c r="E49" s="8"/>
      <c r="F49" s="4" t="s">
        <v>114</v>
      </c>
      <c r="G49" s="14">
        <v>0</v>
      </c>
      <c r="H49" s="14">
        <v>0</v>
      </c>
      <c r="I49" s="10">
        <f t="shared" ref="I49:I55" si="7">G49-H49</f>
        <v>0</v>
      </c>
    </row>
    <row r="50" spans="1:9" x14ac:dyDescent="0.35">
      <c r="A50" s="8"/>
      <c r="B50" s="17"/>
      <c r="C50" s="17"/>
      <c r="D50" s="17"/>
      <c r="E50" s="8"/>
      <c r="F50" s="4" t="s">
        <v>114</v>
      </c>
      <c r="G50" s="14">
        <v>0</v>
      </c>
      <c r="H50" s="14">
        <v>0</v>
      </c>
      <c r="I50" s="10">
        <f t="shared" si="7"/>
        <v>0</v>
      </c>
    </row>
    <row r="51" spans="1:9" x14ac:dyDescent="0.35">
      <c r="A51" s="21" t="s">
        <v>45</v>
      </c>
      <c r="B51" s="22" t="s">
        <v>49</v>
      </c>
      <c r="C51" s="23" t="s">
        <v>0</v>
      </c>
      <c r="D51" s="23" t="s">
        <v>46</v>
      </c>
      <c r="E51" s="8"/>
      <c r="F51" s="4" t="s">
        <v>114</v>
      </c>
      <c r="G51" s="14">
        <v>0</v>
      </c>
      <c r="H51" s="14">
        <v>0</v>
      </c>
      <c r="I51" s="10">
        <f t="shared" si="7"/>
        <v>0</v>
      </c>
    </row>
    <row r="52" spans="1:9" x14ac:dyDescent="0.35">
      <c r="A52" s="4" t="s">
        <v>6</v>
      </c>
      <c r="B52" s="14">
        <v>0</v>
      </c>
      <c r="C52" s="14">
        <v>0</v>
      </c>
      <c r="D52" s="10">
        <f t="shared" ref="D52:D55" si="8">B52-C52</f>
        <v>0</v>
      </c>
      <c r="E52" s="8"/>
      <c r="F52" s="4" t="s">
        <v>115</v>
      </c>
      <c r="G52" s="14">
        <v>0</v>
      </c>
      <c r="H52" s="14">
        <v>0</v>
      </c>
      <c r="I52" s="10">
        <f t="shared" si="7"/>
        <v>0</v>
      </c>
    </row>
    <row r="53" spans="1:9" x14ac:dyDescent="0.35">
      <c r="A53" s="4" t="s">
        <v>27</v>
      </c>
      <c r="B53" s="14">
        <v>0</v>
      </c>
      <c r="C53" s="14">
        <v>0</v>
      </c>
      <c r="D53" s="10">
        <f t="shared" si="8"/>
        <v>0</v>
      </c>
      <c r="E53" s="8"/>
      <c r="F53" s="4" t="s">
        <v>115</v>
      </c>
      <c r="G53" s="14">
        <v>0</v>
      </c>
      <c r="H53" s="14">
        <v>0</v>
      </c>
      <c r="I53" s="10">
        <f t="shared" si="7"/>
        <v>0</v>
      </c>
    </row>
    <row r="54" spans="1:9" x14ac:dyDescent="0.35">
      <c r="A54" s="4" t="s">
        <v>28</v>
      </c>
      <c r="B54" s="14">
        <v>0</v>
      </c>
      <c r="C54" s="14">
        <v>0</v>
      </c>
      <c r="D54" s="10">
        <f t="shared" si="8"/>
        <v>0</v>
      </c>
      <c r="E54" s="8"/>
      <c r="F54" s="4" t="s">
        <v>116</v>
      </c>
      <c r="G54" s="14">
        <v>0</v>
      </c>
      <c r="H54" s="14">
        <v>0</v>
      </c>
      <c r="I54" s="10">
        <f t="shared" si="7"/>
        <v>0</v>
      </c>
    </row>
    <row r="55" spans="1:9" x14ac:dyDescent="0.35">
      <c r="A55" s="4" t="s">
        <v>10</v>
      </c>
      <c r="B55" s="14">
        <v>0</v>
      </c>
      <c r="C55" s="14">
        <v>0</v>
      </c>
      <c r="D55" s="10">
        <f t="shared" si="8"/>
        <v>0</v>
      </c>
      <c r="E55" s="8"/>
      <c r="F55" s="4" t="s">
        <v>117</v>
      </c>
      <c r="G55" s="14">
        <v>0</v>
      </c>
      <c r="H55" s="14">
        <v>0</v>
      </c>
      <c r="I55" s="10">
        <f t="shared" si="7"/>
        <v>0</v>
      </c>
    </row>
    <row r="56" spans="1:9" x14ac:dyDescent="0.35">
      <c r="A56" s="24" t="str">
        <f>"Total " &amp; Table19153[[#Headers],[CHARITY/GIFTS]]</f>
        <v>Total CHARITY/GIFTS</v>
      </c>
      <c r="B56" s="19">
        <f>SUBTOTAL(109,Table19153[Budget])</f>
        <v>0</v>
      </c>
      <c r="C56" s="19">
        <f>SUBTOTAL(109,Table19153[Actual])</f>
        <v>0</v>
      </c>
      <c r="D56" s="13">
        <f>SUBTOTAL(109,Table19153[Difference])</f>
        <v>0</v>
      </c>
      <c r="E56" s="8"/>
      <c r="F56" s="37" t="str">
        <f>"Total " &amp; Table10150[[#Headers],[OBLIGATIONS]]</f>
        <v>Total OBLIGATIONS</v>
      </c>
      <c r="G56" s="38">
        <f>SUBTOTAL(109,Table10150[Budget])</f>
        <v>0</v>
      </c>
      <c r="H56" s="38">
        <f>SUBTOTAL(109,Table10150[Actual])</f>
        <v>0</v>
      </c>
      <c r="I56" s="39">
        <f>SUBTOTAL(109,Table10150[Difference])</f>
        <v>0</v>
      </c>
    </row>
    <row r="57" spans="1:9" x14ac:dyDescent="0.35">
      <c r="A57" s="8"/>
      <c r="B57" s="17"/>
      <c r="C57" s="17"/>
      <c r="D57" s="17"/>
      <c r="E57" s="8"/>
      <c r="F57" s="8"/>
      <c r="G57" s="17"/>
      <c r="H57" s="17"/>
      <c r="I57" s="17"/>
    </row>
    <row r="58" spans="1:9" x14ac:dyDescent="0.35">
      <c r="A58" s="21" t="s">
        <v>25</v>
      </c>
      <c r="B58" s="22" t="s">
        <v>49</v>
      </c>
      <c r="C58" s="23" t="s">
        <v>0</v>
      </c>
      <c r="D58" s="23" t="s">
        <v>46</v>
      </c>
      <c r="E58" s="8"/>
      <c r="F58" s="21" t="s">
        <v>8</v>
      </c>
      <c r="G58" s="22" t="s">
        <v>49</v>
      </c>
      <c r="H58" s="23" t="s">
        <v>0</v>
      </c>
      <c r="I58" s="23" t="s">
        <v>46</v>
      </c>
    </row>
    <row r="59" spans="1:9" x14ac:dyDescent="0.35">
      <c r="A59" s="4" t="s">
        <v>19</v>
      </c>
      <c r="B59" s="14">
        <v>0</v>
      </c>
      <c r="C59" s="14">
        <v>0</v>
      </c>
      <c r="D59" s="10">
        <f t="shared" ref="D59:D62" si="9">B59-C59</f>
        <v>0</v>
      </c>
      <c r="E59" s="8"/>
      <c r="F59" s="4" t="s">
        <v>68</v>
      </c>
      <c r="G59" s="9">
        <v>0</v>
      </c>
      <c r="H59" s="9">
        <v>0</v>
      </c>
      <c r="I59" s="10">
        <f t="shared" ref="I59:I62" si="10">G59-H59</f>
        <v>0</v>
      </c>
    </row>
    <row r="60" spans="1:9" x14ac:dyDescent="0.35">
      <c r="A60" s="4" t="s">
        <v>20</v>
      </c>
      <c r="B60" s="14">
        <v>0</v>
      </c>
      <c r="C60" s="14">
        <v>0</v>
      </c>
      <c r="D60" s="10">
        <f t="shared" si="9"/>
        <v>0</v>
      </c>
      <c r="E60" s="8"/>
      <c r="F60" s="4" t="s">
        <v>72</v>
      </c>
      <c r="G60" s="9">
        <v>0</v>
      </c>
      <c r="H60" s="9">
        <v>0</v>
      </c>
      <c r="I60" s="10">
        <f t="shared" si="10"/>
        <v>0</v>
      </c>
    </row>
    <row r="61" spans="1:9" x14ac:dyDescent="0.35">
      <c r="A61" s="4" t="s">
        <v>56</v>
      </c>
      <c r="B61" s="14">
        <v>0</v>
      </c>
      <c r="C61" s="14">
        <v>0</v>
      </c>
      <c r="D61" s="10">
        <f t="shared" si="9"/>
        <v>0</v>
      </c>
      <c r="E61" s="8"/>
      <c r="F61" s="4" t="s">
        <v>67</v>
      </c>
      <c r="G61" s="9">
        <v>0</v>
      </c>
      <c r="H61" s="9">
        <v>0</v>
      </c>
      <c r="I61" s="10">
        <f t="shared" si="10"/>
        <v>0</v>
      </c>
    </row>
    <row r="62" spans="1:9" x14ac:dyDescent="0.35">
      <c r="A62" s="4" t="s">
        <v>10</v>
      </c>
      <c r="B62" s="14">
        <v>0</v>
      </c>
      <c r="C62" s="14">
        <v>0</v>
      </c>
      <c r="D62" s="10">
        <f t="shared" si="9"/>
        <v>0</v>
      </c>
      <c r="E62" s="8"/>
      <c r="F62" s="4" t="s">
        <v>10</v>
      </c>
      <c r="G62" s="14">
        <v>0</v>
      </c>
      <c r="H62" s="14">
        <v>0</v>
      </c>
      <c r="I62" s="10">
        <f t="shared" si="10"/>
        <v>0</v>
      </c>
    </row>
    <row r="63" spans="1:9" x14ac:dyDescent="0.35">
      <c r="A63" s="24" t="str">
        <f>"Total " &amp; Table15152[[#Headers],[SUBSCRIPTIONS]]</f>
        <v>Total SUBSCRIPTIONS</v>
      </c>
      <c r="B63" s="19">
        <f>SUBTOTAL(109,Table15152[Budget])</f>
        <v>0</v>
      </c>
      <c r="C63" s="19">
        <f>SUBTOTAL(109,Table15152[Actual])</f>
        <v>0</v>
      </c>
      <c r="D63" s="13">
        <f>SUBTOTAL(109,Table15152[Difference])</f>
        <v>0</v>
      </c>
      <c r="E63" s="8"/>
      <c r="F63" s="24" t="str">
        <f>"Total " &amp; Table14151[[#Headers],[MISCELLANEOUS]]</f>
        <v>Total MISCELLANEOUS</v>
      </c>
      <c r="G63" s="19">
        <f>SUBTOTAL(109,Table14151[Budget])</f>
        <v>0</v>
      </c>
      <c r="H63" s="19">
        <f>SUBTOTAL(109,Table14151[Actual])</f>
        <v>0</v>
      </c>
      <c r="I63" s="13">
        <f>SUBTOTAL(109,Table14151[Difference])</f>
        <v>0</v>
      </c>
    </row>
    <row r="64" spans="1:9" x14ac:dyDescent="0.35">
      <c r="E64" s="8"/>
      <c r="F64" s="7"/>
    </row>
    <row r="65" spans="5:6" x14ac:dyDescent="0.35">
      <c r="E65" s="8"/>
      <c r="F65" s="7"/>
    </row>
    <row r="66" spans="5:6" x14ac:dyDescent="0.35">
      <c r="E66" s="8"/>
      <c r="F66" s="7"/>
    </row>
    <row r="67" spans="5:6" x14ac:dyDescent="0.35">
      <c r="E67" s="8"/>
      <c r="F67" s="7"/>
    </row>
    <row r="68" spans="5:6" x14ac:dyDescent="0.35">
      <c r="E68" s="8"/>
      <c r="F68" s="7"/>
    </row>
    <row r="69" spans="5:6" x14ac:dyDescent="0.35">
      <c r="E69" s="8"/>
      <c r="F69" s="7"/>
    </row>
    <row r="70" spans="5:6" x14ac:dyDescent="0.35">
      <c r="E70" s="8"/>
    </row>
    <row r="71" spans="5:6" x14ac:dyDescent="0.35">
      <c r="E71" s="8"/>
    </row>
    <row r="72" spans="5:6" x14ac:dyDescent="0.35">
      <c r="E72" s="8"/>
      <c r="F72" s="7"/>
    </row>
    <row r="73" spans="5:6" x14ac:dyDescent="0.35">
      <c r="E73" s="8"/>
      <c r="F73" s="7"/>
    </row>
    <row r="74" spans="5:6" x14ac:dyDescent="0.35">
      <c r="E74" s="15"/>
      <c r="F74" s="7"/>
    </row>
    <row r="75" spans="5:6" x14ac:dyDescent="0.35">
      <c r="E75" s="16"/>
      <c r="F75" s="7"/>
    </row>
    <row r="76" spans="5:6" x14ac:dyDescent="0.35">
      <c r="E76" s="16"/>
      <c r="F76" s="7"/>
    </row>
    <row r="77" spans="5:6" x14ac:dyDescent="0.35">
      <c r="E77" s="16"/>
      <c r="F77" s="7"/>
    </row>
    <row r="78" spans="5:6" x14ac:dyDescent="0.35">
      <c r="E78" s="16"/>
      <c r="F78" s="7"/>
    </row>
    <row r="79" spans="5:6" x14ac:dyDescent="0.35">
      <c r="E79" s="8"/>
      <c r="F79" s="7"/>
    </row>
    <row r="80" spans="5:6" x14ac:dyDescent="0.35">
      <c r="E80" s="15"/>
      <c r="F80" s="7"/>
    </row>
    <row r="81" spans="5:6" x14ac:dyDescent="0.35">
      <c r="E81" s="16"/>
      <c r="F81" s="7"/>
    </row>
    <row r="82" spans="5:6" x14ac:dyDescent="0.35">
      <c r="E82" s="16"/>
    </row>
    <row r="83" spans="5:6" x14ac:dyDescent="0.35">
      <c r="E83" s="16"/>
    </row>
    <row r="84" spans="5:6" x14ac:dyDescent="0.35">
      <c r="E84" s="20" t="s">
        <v>48</v>
      </c>
    </row>
    <row r="85" spans="5:6" x14ac:dyDescent="0.35">
      <c r="E85" s="16"/>
    </row>
    <row r="86" spans="5:6" x14ac:dyDescent="0.35">
      <c r="E86" s="16"/>
    </row>
    <row r="87" spans="5:6" x14ac:dyDescent="0.35">
      <c r="E87" s="16"/>
    </row>
    <row r="88" spans="5:6" x14ac:dyDescent="0.35">
      <c r="E88" s="16"/>
    </row>
    <row r="89" spans="5:6" x14ac:dyDescent="0.35">
      <c r="E89" s="16"/>
    </row>
    <row r="90" spans="5:6" x14ac:dyDescent="0.35">
      <c r="E90" s="8"/>
    </row>
    <row r="91" spans="5:6" x14ac:dyDescent="0.35">
      <c r="E91" s="15"/>
    </row>
    <row r="92" spans="5:6" x14ac:dyDescent="0.35">
      <c r="E92" s="7"/>
    </row>
    <row r="93" spans="5:6" x14ac:dyDescent="0.35">
      <c r="E93" s="7"/>
    </row>
    <row r="94" spans="5:6" x14ac:dyDescent="0.35">
      <c r="E94" s="7"/>
    </row>
    <row r="95" spans="5:6" x14ac:dyDescent="0.35">
      <c r="E95" s="7"/>
    </row>
    <row r="96" spans="5:6" x14ac:dyDescent="0.35">
      <c r="E96" s="7"/>
    </row>
    <row r="97" spans="5:5" x14ac:dyDescent="0.35">
      <c r="E97" s="7"/>
    </row>
    <row r="98" spans="5:5" x14ac:dyDescent="0.35">
      <c r="E98" s="7"/>
    </row>
    <row r="99" spans="5:5" x14ac:dyDescent="0.35">
      <c r="E99" s="7"/>
    </row>
    <row r="100" spans="5:5" x14ac:dyDescent="0.35">
      <c r="E100" s="7"/>
    </row>
    <row r="101" spans="5:5" x14ac:dyDescent="0.35">
      <c r="E101" s="7"/>
    </row>
    <row r="122" spans="6:6" x14ac:dyDescent="0.35">
      <c r="F122" s="7"/>
    </row>
    <row r="123" spans="6:6" x14ac:dyDescent="0.35">
      <c r="F123" s="7"/>
    </row>
    <row r="124" spans="6:6" x14ac:dyDescent="0.35">
      <c r="F124" s="7"/>
    </row>
    <row r="125" spans="6:6" x14ac:dyDescent="0.35">
      <c r="F125" s="7"/>
    </row>
    <row r="126" spans="6:6" x14ac:dyDescent="0.35">
      <c r="F126" s="7"/>
    </row>
    <row r="127" spans="6:6" x14ac:dyDescent="0.35">
      <c r="F127" s="7"/>
    </row>
    <row r="128" spans="6:6" x14ac:dyDescent="0.35">
      <c r="F128" s="7"/>
    </row>
    <row r="131" spans="5:6" x14ac:dyDescent="0.35">
      <c r="F131" s="7"/>
    </row>
    <row r="132" spans="5:6" x14ac:dyDescent="0.35">
      <c r="F132" s="7"/>
    </row>
    <row r="133" spans="5:6" x14ac:dyDescent="0.35">
      <c r="F133" s="7"/>
    </row>
    <row r="134" spans="5:6" x14ac:dyDescent="0.35">
      <c r="F134" s="7"/>
    </row>
    <row r="135" spans="5:6" x14ac:dyDescent="0.35">
      <c r="F135" s="7"/>
    </row>
    <row r="136" spans="5:6" x14ac:dyDescent="0.35">
      <c r="F136" s="7"/>
    </row>
    <row r="137" spans="5:6" x14ac:dyDescent="0.35">
      <c r="F137" s="7"/>
    </row>
    <row r="141" spans="5:6" x14ac:dyDescent="0.35">
      <c r="E141" s="6"/>
    </row>
    <row r="142" spans="5:6" x14ac:dyDescent="0.35">
      <c r="E142" s="7"/>
    </row>
    <row r="143" spans="5:6" x14ac:dyDescent="0.35">
      <c r="E143" s="7"/>
    </row>
    <row r="144" spans="5:6" x14ac:dyDescent="0.35">
      <c r="E144" s="7"/>
    </row>
    <row r="145" spans="5:5" x14ac:dyDescent="0.35">
      <c r="E145" s="7"/>
    </row>
    <row r="146" spans="5:5" x14ac:dyDescent="0.35">
      <c r="E146" s="7"/>
    </row>
    <row r="147" spans="5:5" x14ac:dyDescent="0.35">
      <c r="E147" s="7"/>
    </row>
    <row r="148" spans="5:5" x14ac:dyDescent="0.35">
      <c r="E148" s="7"/>
    </row>
    <row r="150" spans="5:5" x14ac:dyDescent="0.35">
      <c r="E150" s="6"/>
    </row>
    <row r="151" spans="5:5" x14ac:dyDescent="0.35">
      <c r="E151" s="7"/>
    </row>
    <row r="152" spans="5:5" x14ac:dyDescent="0.35">
      <c r="E152" s="7"/>
    </row>
    <row r="153" spans="5:5" x14ac:dyDescent="0.35">
      <c r="E153" s="7"/>
    </row>
    <row r="154" spans="5:5" x14ac:dyDescent="0.35">
      <c r="E154" s="7"/>
    </row>
    <row r="155" spans="5:5" x14ac:dyDescent="0.35">
      <c r="E155" s="7"/>
    </row>
    <row r="156" spans="5:5" x14ac:dyDescent="0.35">
      <c r="E156" s="7"/>
    </row>
    <row r="157" spans="5:5" x14ac:dyDescent="0.35">
      <c r="E157" s="7"/>
    </row>
  </sheetData>
  <sheetProtection formatCells="0" formatColumns="0" formatRows="0" insertColumns="0" insertRows="0" insertHyperlinks="0" deleteColumns="0" deleteRows="0" sort="0" autoFilter="0" pivotTables="0"/>
  <mergeCells count="1">
    <mergeCell ref="H2:I2"/>
  </mergeCells>
  <conditionalFormatting sqref="D32:D38 D52:D55 D59:D62 D16:D28 I49:I55 D5:D13 D42:D48 I11:I19 I23:I36 I40:I45 I59:I62">
    <cfRule type="cellIs" dxfId="1639" priority="2" stopIfTrue="1" operator="lessThan">
      <formula>0</formula>
    </cfRule>
  </conditionalFormatting>
  <conditionalFormatting sqref="I5">
    <cfRule type="expression" dxfId="1638" priority="1">
      <formula>IF(,,H5&gt;G5)</formula>
    </cfRule>
  </conditionalFormatting>
  <pageMargins left="0.7" right="0.7" top="0.75" bottom="0.75" header="0.3" footer="0.3"/>
  <tableParts count="11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7"/>
  <sheetViews>
    <sheetView showGridLines="0" topLeftCell="A43" workbookViewId="0">
      <selection activeCell="B54" sqref="B54"/>
    </sheetView>
  </sheetViews>
  <sheetFormatPr defaultColWidth="9" defaultRowHeight="14.4" x14ac:dyDescent="0.35"/>
  <cols>
    <col min="1" max="1" width="25.3984375" style="1" customWidth="1"/>
    <col min="2" max="3" width="9.59765625" style="1" customWidth="1"/>
    <col min="4" max="4" width="10" style="1" bestFit="1" customWidth="1"/>
    <col min="5" max="5" width="2.59765625" style="1" customWidth="1"/>
    <col min="6" max="6" width="21.5" style="1" customWidth="1"/>
    <col min="7" max="8" width="9.59765625" style="1" customWidth="1"/>
    <col min="9" max="9" width="11.09765625" style="1" customWidth="1"/>
    <col min="10" max="16384" width="9" style="1"/>
  </cols>
  <sheetData>
    <row r="1" spans="1:9" ht="26.1" customHeight="1" x14ac:dyDescent="0.35">
      <c r="A1" s="34" t="s">
        <v>87</v>
      </c>
      <c r="B1" s="34"/>
      <c r="C1" s="34"/>
      <c r="D1" s="34"/>
      <c r="E1" s="34"/>
      <c r="F1" s="34"/>
      <c r="G1" s="34"/>
      <c r="H1" s="34"/>
      <c r="I1" s="34"/>
    </row>
    <row r="2" spans="1:9" s="2" customFormat="1" ht="13.8" x14ac:dyDescent="0.3">
      <c r="A2" s="35"/>
      <c r="B2" s="33"/>
      <c r="C2" s="33"/>
      <c r="D2" s="33"/>
      <c r="E2" s="31"/>
      <c r="F2" s="31"/>
      <c r="G2" s="32"/>
      <c r="H2" s="47"/>
      <c r="I2" s="47"/>
    </row>
    <row r="3" spans="1:9" s="2" customFormat="1" ht="12" x14ac:dyDescent="0.3">
      <c r="E3" s="3"/>
    </row>
    <row r="4" spans="1:9" x14ac:dyDescent="0.35">
      <c r="A4" s="21" t="s">
        <v>1</v>
      </c>
      <c r="B4" s="22" t="s">
        <v>49</v>
      </c>
      <c r="C4" s="23" t="s">
        <v>0</v>
      </c>
      <c r="D4" s="23" t="s">
        <v>46</v>
      </c>
      <c r="E4" s="18" t="s">
        <v>48</v>
      </c>
      <c r="F4" s="26" t="s">
        <v>51</v>
      </c>
      <c r="G4" s="27" t="s">
        <v>49</v>
      </c>
      <c r="H4" s="27" t="s">
        <v>0</v>
      </c>
      <c r="I4" s="27" t="s">
        <v>46</v>
      </c>
    </row>
    <row r="5" spans="1:9" x14ac:dyDescent="0.35">
      <c r="A5" s="4" t="s">
        <v>7</v>
      </c>
      <c r="B5" s="9">
        <v>0</v>
      </c>
      <c r="C5" s="9">
        <v>0</v>
      </c>
      <c r="D5" s="10">
        <f t="shared" ref="D5:D11" si="0">C5-B5</f>
        <v>0</v>
      </c>
      <c r="E5" s="8"/>
      <c r="F5" s="28" t="s">
        <v>2</v>
      </c>
      <c r="G5" s="25">
        <f>Table2157[[#Totals],[Budget]]</f>
        <v>0</v>
      </c>
      <c r="H5" s="25">
        <f>Table2157[[#Totals],[Actual]]</f>
        <v>0</v>
      </c>
      <c r="I5" s="25">
        <f>G5-H5</f>
        <v>0</v>
      </c>
    </row>
    <row r="6" spans="1:9" ht="15" thickBot="1" x14ac:dyDescent="0.4">
      <c r="A6" s="4" t="s">
        <v>119</v>
      </c>
      <c r="B6" s="9">
        <v>0</v>
      </c>
      <c r="C6" s="9">
        <v>0</v>
      </c>
      <c r="D6" s="10">
        <f t="shared" si="0"/>
        <v>0</v>
      </c>
      <c r="E6" s="8"/>
      <c r="F6" s="28" t="s">
        <v>3</v>
      </c>
      <c r="G6" s="25">
        <f>SUM(,Table5157[[#Totals],[Budget]],Table20165[[#Totals],[Budget]],Table21166[[#Totals],[Budget]],Table19164[[#Totals],[Budget]],Table15163[[#Totals],[Budget]],Table14162[[#Totals],[Budget]],Table10161[[#Totals],[Budget]],Table8160[[#Totals],[Budget]],Table7159[[#Totals],[Budget]],Table6158[[#Totals],[Budget]])</f>
        <v>0</v>
      </c>
      <c r="H6" s="25">
        <f>SUM(Table5157[[#Totals],[Actual]],Table20165[[#Totals],[Actual]],Table21166[[#Totals],[Actual]],Table19164[[#Totals],[Actual]],Table15163[[#Totals],[Actual]],Table14162[[#Totals],[Actual]],Table10161[[#Totals],[Actual]],Table8160[[#Totals],[Actual]],Table7159[[#Totals],[Actual]],Table6158[[#Totals],[Actual]])</f>
        <v>0</v>
      </c>
      <c r="I6" s="25">
        <f>G6-H6</f>
        <v>0</v>
      </c>
    </row>
    <row r="7" spans="1:9" ht="15" thickTop="1" x14ac:dyDescent="0.35">
      <c r="A7" s="4" t="s">
        <v>94</v>
      </c>
      <c r="B7" s="9"/>
      <c r="C7" s="9">
        <v>0</v>
      </c>
      <c r="D7" s="10">
        <f t="shared" si="0"/>
        <v>0</v>
      </c>
      <c r="E7" s="8"/>
      <c r="F7" s="29" t="s">
        <v>4</v>
      </c>
      <c r="G7" s="30">
        <f>G5-G6</f>
        <v>0</v>
      </c>
      <c r="H7" s="30">
        <f>H5-H6</f>
        <v>0</v>
      </c>
      <c r="I7" s="30">
        <f>H7-G7</f>
        <v>0</v>
      </c>
    </row>
    <row r="8" spans="1:9" s="2" customFormat="1" x14ac:dyDescent="0.35">
      <c r="A8" s="4" t="s">
        <v>121</v>
      </c>
      <c r="B8" s="9"/>
      <c r="C8" s="9">
        <v>0</v>
      </c>
      <c r="D8" s="10">
        <f t="shared" si="0"/>
        <v>0</v>
      </c>
      <c r="E8" s="11"/>
      <c r="F8" s="11"/>
      <c r="G8" s="11"/>
      <c r="H8" s="11"/>
      <c r="I8" s="11"/>
    </row>
    <row r="9" spans="1:9" x14ac:dyDescent="0.35">
      <c r="A9" s="4" t="s">
        <v>50</v>
      </c>
      <c r="B9" s="9"/>
      <c r="C9" s="9">
        <v>0</v>
      </c>
      <c r="D9" s="10">
        <f t="shared" si="0"/>
        <v>0</v>
      </c>
      <c r="E9" s="8"/>
      <c r="F9" s="11"/>
      <c r="G9" s="11"/>
      <c r="H9" s="11"/>
      <c r="I9" s="11"/>
    </row>
    <row r="10" spans="1:9" x14ac:dyDescent="0.35">
      <c r="A10" s="4" t="s">
        <v>47</v>
      </c>
      <c r="B10" s="9"/>
      <c r="C10" s="9">
        <v>0</v>
      </c>
      <c r="D10" s="10">
        <f t="shared" si="0"/>
        <v>0</v>
      </c>
      <c r="E10" s="8"/>
      <c r="F10" s="21" t="s">
        <v>26</v>
      </c>
      <c r="G10" s="22" t="s">
        <v>49</v>
      </c>
      <c r="H10" s="23" t="s">
        <v>0</v>
      </c>
      <c r="I10" s="23" t="s">
        <v>46</v>
      </c>
    </row>
    <row r="11" spans="1:9" x14ac:dyDescent="0.35">
      <c r="A11" s="4" t="s">
        <v>97</v>
      </c>
      <c r="B11" s="9"/>
      <c r="C11" s="9">
        <v>0</v>
      </c>
      <c r="D11" s="10">
        <f t="shared" si="0"/>
        <v>0</v>
      </c>
      <c r="E11" s="8"/>
      <c r="F11" s="4" t="s">
        <v>5</v>
      </c>
      <c r="G11" s="14">
        <v>0</v>
      </c>
      <c r="H11" s="14">
        <v>0</v>
      </c>
      <c r="I11" s="10">
        <f t="shared" ref="I11:I19" si="1">G11-H11</f>
        <v>0</v>
      </c>
    </row>
    <row r="12" spans="1:9" x14ac:dyDescent="0.35">
      <c r="A12" s="4" t="s">
        <v>77</v>
      </c>
      <c r="B12" s="12"/>
      <c r="C12" s="12">
        <v>0</v>
      </c>
      <c r="D12" s="10">
        <f>C12-B12</f>
        <v>0</v>
      </c>
      <c r="E12" s="8"/>
      <c r="F12" s="4" t="s">
        <v>69</v>
      </c>
      <c r="G12" s="14">
        <v>0</v>
      </c>
      <c r="H12" s="14">
        <v>0</v>
      </c>
      <c r="I12" s="10">
        <f t="shared" si="1"/>
        <v>0</v>
      </c>
    </row>
    <row r="13" spans="1:9" x14ac:dyDescent="0.35">
      <c r="A13" s="37" t="str">
        <f>"Total " &amp; Table2157[[#Headers],[INCOME]]</f>
        <v>Total INCOME</v>
      </c>
      <c r="B13" s="38">
        <f>SUBTOTAL(109,Table2157[Budget])</f>
        <v>0</v>
      </c>
      <c r="C13" s="38">
        <f>SUBTOTAL(109,Table2157[Actual])</f>
        <v>0</v>
      </c>
      <c r="D13" s="39">
        <f>SUBTOTAL(109,Table2157[Difference])</f>
        <v>0</v>
      </c>
      <c r="E13" s="8"/>
      <c r="F13" s="4" t="s">
        <v>92</v>
      </c>
      <c r="G13" s="14">
        <v>0</v>
      </c>
      <c r="H13" s="14">
        <v>0</v>
      </c>
      <c r="I13" s="10">
        <f t="shared" si="1"/>
        <v>0</v>
      </c>
    </row>
    <row r="14" spans="1:9" x14ac:dyDescent="0.35">
      <c r="A14" s="8"/>
      <c r="B14" s="8"/>
      <c r="C14" s="8"/>
      <c r="D14" s="8"/>
      <c r="E14" s="8"/>
      <c r="F14" s="4" t="s">
        <v>57</v>
      </c>
      <c r="G14" s="14"/>
      <c r="H14" s="14">
        <v>0</v>
      </c>
      <c r="I14" s="10">
        <f t="shared" si="1"/>
        <v>0</v>
      </c>
    </row>
    <row r="15" spans="1:9" x14ac:dyDescent="0.35">
      <c r="A15" s="21" t="s">
        <v>9</v>
      </c>
      <c r="B15" s="22" t="s">
        <v>49</v>
      </c>
      <c r="C15" s="23" t="s">
        <v>0</v>
      </c>
      <c r="D15" s="23" t="s">
        <v>46</v>
      </c>
      <c r="E15" s="8"/>
      <c r="F15" s="4" t="s">
        <v>58</v>
      </c>
      <c r="G15" s="14"/>
      <c r="H15" s="14">
        <v>0</v>
      </c>
      <c r="I15" s="10">
        <f t="shared" si="1"/>
        <v>0</v>
      </c>
    </row>
    <row r="16" spans="1:9" x14ac:dyDescent="0.35">
      <c r="A16" s="4" t="s">
        <v>63</v>
      </c>
      <c r="B16" s="9">
        <v>0</v>
      </c>
      <c r="C16" s="9">
        <v>0</v>
      </c>
      <c r="D16" s="10">
        <f>B16-C16</f>
        <v>0</v>
      </c>
      <c r="E16" s="8"/>
      <c r="F16" s="4" t="s">
        <v>40</v>
      </c>
      <c r="G16" s="14">
        <v>0</v>
      </c>
      <c r="H16" s="14">
        <v>0</v>
      </c>
      <c r="I16" s="10">
        <f t="shared" si="1"/>
        <v>0</v>
      </c>
    </row>
    <row r="17" spans="1:9" x14ac:dyDescent="0.35">
      <c r="A17" s="4" t="s">
        <v>66</v>
      </c>
      <c r="B17" s="9"/>
      <c r="C17" s="9">
        <v>0</v>
      </c>
      <c r="D17" s="10">
        <f t="shared" ref="D17:D28" si="2">B17-C17</f>
        <v>0</v>
      </c>
      <c r="E17" s="8"/>
      <c r="F17" s="4" t="s">
        <v>71</v>
      </c>
      <c r="G17" s="14">
        <v>0</v>
      </c>
      <c r="H17" s="14">
        <v>0</v>
      </c>
      <c r="I17" s="10">
        <f t="shared" si="1"/>
        <v>0</v>
      </c>
    </row>
    <row r="18" spans="1:9" x14ac:dyDescent="0.35">
      <c r="A18" s="4" t="s">
        <v>62</v>
      </c>
      <c r="B18" s="9">
        <v>0</v>
      </c>
      <c r="C18" s="9">
        <v>0</v>
      </c>
      <c r="D18" s="10">
        <f t="shared" si="2"/>
        <v>0</v>
      </c>
      <c r="E18" s="8"/>
      <c r="F18" s="4" t="s">
        <v>74</v>
      </c>
      <c r="G18" s="14">
        <v>0</v>
      </c>
      <c r="H18" s="14">
        <v>0</v>
      </c>
      <c r="I18" s="10">
        <f t="shared" si="1"/>
        <v>0</v>
      </c>
    </row>
    <row r="19" spans="1:9" x14ac:dyDescent="0.35">
      <c r="A19" s="4" t="s">
        <v>61</v>
      </c>
      <c r="B19" s="9">
        <v>0</v>
      </c>
      <c r="C19" s="9">
        <v>0</v>
      </c>
      <c r="D19" s="10">
        <f t="shared" si="2"/>
        <v>0</v>
      </c>
      <c r="E19" s="8"/>
      <c r="F19" s="4" t="s">
        <v>70</v>
      </c>
      <c r="G19" s="14">
        <v>0</v>
      </c>
      <c r="H19" s="14">
        <v>0</v>
      </c>
      <c r="I19" s="10">
        <f t="shared" si="1"/>
        <v>0</v>
      </c>
    </row>
    <row r="20" spans="1:9" s="5" customFormat="1" x14ac:dyDescent="0.35">
      <c r="A20" s="4" t="s">
        <v>64</v>
      </c>
      <c r="B20" s="9">
        <v>0</v>
      </c>
      <c r="C20" s="9">
        <v>0</v>
      </c>
      <c r="D20" s="10">
        <f t="shared" si="2"/>
        <v>0</v>
      </c>
      <c r="E20" s="8"/>
      <c r="F20" s="37" t="str">
        <f>"Total " &amp; Table6158[[#Headers],[DAILY LIVING]]</f>
        <v>Total DAILY LIVING</v>
      </c>
      <c r="G20" s="38">
        <f>SUBTOTAL(109,Table6158[Budget])</f>
        <v>0</v>
      </c>
      <c r="H20" s="38">
        <f>SUBTOTAL(109,Table6158[Actual])</f>
        <v>0</v>
      </c>
      <c r="I20" s="39">
        <f>SUBTOTAL(109,Table6158[Difference])</f>
        <v>0</v>
      </c>
    </row>
    <row r="21" spans="1:9" x14ac:dyDescent="0.35">
      <c r="A21" s="4" t="s">
        <v>118</v>
      </c>
      <c r="B21" s="9">
        <v>0</v>
      </c>
      <c r="C21" s="9">
        <v>0</v>
      </c>
      <c r="D21" s="10">
        <f t="shared" si="2"/>
        <v>0</v>
      </c>
      <c r="E21" s="8"/>
      <c r="F21" s="8"/>
      <c r="G21" s="17"/>
      <c r="H21" s="17"/>
      <c r="I21" s="17"/>
    </row>
    <row r="22" spans="1:9" x14ac:dyDescent="0.35">
      <c r="A22" s="4" t="s">
        <v>39</v>
      </c>
      <c r="B22" s="9">
        <v>0</v>
      </c>
      <c r="C22" s="9">
        <v>0</v>
      </c>
      <c r="D22" s="10">
        <f t="shared" si="2"/>
        <v>0</v>
      </c>
      <c r="E22" s="8"/>
      <c r="F22" s="21" t="s">
        <v>78</v>
      </c>
      <c r="G22" s="22" t="s">
        <v>49</v>
      </c>
      <c r="H22" s="23" t="s">
        <v>0</v>
      </c>
      <c r="I22" s="23" t="s">
        <v>46</v>
      </c>
    </row>
    <row r="23" spans="1:9" x14ac:dyDescent="0.35">
      <c r="A23" s="4" t="s">
        <v>65</v>
      </c>
      <c r="B23" s="9">
        <v>0</v>
      </c>
      <c r="C23" s="9">
        <v>0</v>
      </c>
      <c r="D23" s="10">
        <f t="shared" si="2"/>
        <v>0</v>
      </c>
      <c r="E23" s="8"/>
      <c r="F23" s="4" t="s">
        <v>93</v>
      </c>
      <c r="G23" s="14"/>
      <c r="H23" s="14">
        <v>0</v>
      </c>
      <c r="I23" s="10">
        <f t="shared" ref="I23:I36" si="3">G23-H23</f>
        <v>0</v>
      </c>
    </row>
    <row r="24" spans="1:9" x14ac:dyDescent="0.35">
      <c r="A24" s="4" t="s">
        <v>38</v>
      </c>
      <c r="B24" s="9"/>
      <c r="C24" s="9">
        <v>0</v>
      </c>
      <c r="D24" s="10">
        <f t="shared" si="2"/>
        <v>0</v>
      </c>
      <c r="E24" s="8"/>
      <c r="F24" s="4"/>
      <c r="G24" s="14"/>
      <c r="H24" s="14">
        <v>0</v>
      </c>
      <c r="I24" s="10">
        <f t="shared" si="3"/>
        <v>0</v>
      </c>
    </row>
    <row r="25" spans="1:9" x14ac:dyDescent="0.35">
      <c r="A25" s="4" t="s">
        <v>37</v>
      </c>
      <c r="B25" s="9">
        <v>0</v>
      </c>
      <c r="C25" s="9">
        <v>0</v>
      </c>
      <c r="D25" s="10">
        <f>B25-C25</f>
        <v>0</v>
      </c>
      <c r="E25" s="8"/>
      <c r="F25" s="4"/>
      <c r="G25" s="14"/>
      <c r="H25" s="14">
        <v>0</v>
      </c>
      <c r="I25" s="10">
        <f t="shared" si="3"/>
        <v>0</v>
      </c>
    </row>
    <row r="26" spans="1:9" x14ac:dyDescent="0.35">
      <c r="A26" s="4" t="s">
        <v>73</v>
      </c>
      <c r="B26" s="9">
        <v>0</v>
      </c>
      <c r="C26" s="9">
        <v>0</v>
      </c>
      <c r="D26" s="10">
        <f t="shared" si="2"/>
        <v>0</v>
      </c>
      <c r="E26" s="8"/>
      <c r="F26" s="4" t="s">
        <v>95</v>
      </c>
      <c r="G26" s="14"/>
      <c r="H26" s="14">
        <v>0</v>
      </c>
      <c r="I26" s="10">
        <f t="shared" si="3"/>
        <v>0</v>
      </c>
    </row>
    <row r="27" spans="1:9" x14ac:dyDescent="0.35">
      <c r="A27" s="36" t="s">
        <v>75</v>
      </c>
      <c r="B27" s="9">
        <v>0</v>
      </c>
      <c r="C27" s="9">
        <v>0</v>
      </c>
      <c r="D27" s="10">
        <f t="shared" si="2"/>
        <v>0</v>
      </c>
      <c r="E27" s="8"/>
      <c r="F27" s="4" t="s">
        <v>41</v>
      </c>
      <c r="G27" s="14"/>
      <c r="H27" s="14">
        <v>0</v>
      </c>
      <c r="I27" s="10">
        <f t="shared" si="3"/>
        <v>0</v>
      </c>
    </row>
    <row r="28" spans="1:9" x14ac:dyDescent="0.35">
      <c r="A28" s="4" t="s">
        <v>10</v>
      </c>
      <c r="B28" s="14"/>
      <c r="C28" s="14">
        <v>0</v>
      </c>
      <c r="D28" s="10">
        <f t="shared" si="2"/>
        <v>0</v>
      </c>
      <c r="E28" s="8"/>
      <c r="F28" s="4" t="s">
        <v>42</v>
      </c>
      <c r="G28" s="14"/>
      <c r="H28" s="14">
        <v>0</v>
      </c>
      <c r="I28" s="10">
        <f t="shared" si="3"/>
        <v>0</v>
      </c>
    </row>
    <row r="29" spans="1:9" x14ac:dyDescent="0.35">
      <c r="A29" s="24" t="str">
        <f>"Total " &amp; Table5157[[#Headers],[HOME EXPENSES]]</f>
        <v>Total HOME EXPENSES</v>
      </c>
      <c r="B29" s="19">
        <f>SUBTOTAL(109,Table5157[Budget])</f>
        <v>0</v>
      </c>
      <c r="C29" s="19">
        <f>SUBTOTAL(109,Table5157[Actual])</f>
        <v>0</v>
      </c>
      <c r="D29" s="13">
        <f>SUBTOTAL(109,Table5157[Difference])</f>
        <v>0</v>
      </c>
      <c r="E29" s="8"/>
      <c r="F29" s="4"/>
      <c r="G29" s="14"/>
      <c r="H29" s="14">
        <v>0</v>
      </c>
      <c r="I29" s="10">
        <f t="shared" si="3"/>
        <v>0</v>
      </c>
    </row>
    <row r="30" spans="1:9" x14ac:dyDescent="0.35">
      <c r="A30" s="8"/>
      <c r="B30" s="17"/>
      <c r="C30" s="17"/>
      <c r="D30" s="17"/>
      <c r="E30" s="8"/>
      <c r="F30" s="4" t="s">
        <v>96</v>
      </c>
      <c r="G30" s="14"/>
      <c r="H30" s="14">
        <v>0</v>
      </c>
      <c r="I30" s="10">
        <f t="shared" si="3"/>
        <v>0</v>
      </c>
    </row>
    <row r="31" spans="1:9" x14ac:dyDescent="0.35">
      <c r="A31" s="21" t="s">
        <v>11</v>
      </c>
      <c r="B31" s="22" t="s">
        <v>49</v>
      </c>
      <c r="C31" s="23" t="s">
        <v>0</v>
      </c>
      <c r="D31" s="23" t="s">
        <v>46</v>
      </c>
      <c r="E31" s="8"/>
      <c r="F31" s="4" t="s">
        <v>43</v>
      </c>
      <c r="G31" s="14"/>
      <c r="H31" s="14">
        <v>0</v>
      </c>
      <c r="I31" s="10">
        <f t="shared" si="3"/>
        <v>0</v>
      </c>
    </row>
    <row r="32" spans="1:9" x14ac:dyDescent="0.35">
      <c r="A32" s="4" t="s">
        <v>12</v>
      </c>
      <c r="B32" s="14">
        <v>0</v>
      </c>
      <c r="C32" s="14">
        <v>0</v>
      </c>
      <c r="D32" s="10">
        <f>B32-C32</f>
        <v>0</v>
      </c>
      <c r="E32" s="8"/>
      <c r="F32" s="4" t="s">
        <v>24</v>
      </c>
      <c r="G32" s="14"/>
      <c r="H32" s="14">
        <v>0</v>
      </c>
      <c r="I32" s="10">
        <f t="shared" si="3"/>
        <v>0</v>
      </c>
    </row>
    <row r="33" spans="1:9" x14ac:dyDescent="0.35">
      <c r="A33" s="4" t="s">
        <v>52</v>
      </c>
      <c r="B33" s="14">
        <v>0</v>
      </c>
      <c r="C33" s="14">
        <v>0</v>
      </c>
      <c r="D33" s="10">
        <f t="shared" ref="D33:D38" si="4">B33-C33</f>
        <v>0</v>
      </c>
      <c r="E33" s="8"/>
      <c r="F33" s="4" t="s">
        <v>22</v>
      </c>
      <c r="G33" s="14"/>
      <c r="H33" s="14">
        <v>0</v>
      </c>
      <c r="I33" s="10">
        <f t="shared" si="3"/>
        <v>0</v>
      </c>
    </row>
    <row r="34" spans="1:9" x14ac:dyDescent="0.35">
      <c r="A34" s="4" t="s">
        <v>13</v>
      </c>
      <c r="B34" s="14">
        <v>0</v>
      </c>
      <c r="C34" s="14">
        <v>0</v>
      </c>
      <c r="D34" s="10">
        <f>B34-C34</f>
        <v>0</v>
      </c>
      <c r="E34" s="8"/>
      <c r="F34" s="4" t="s">
        <v>44</v>
      </c>
      <c r="G34" s="14"/>
      <c r="H34" s="14">
        <v>0</v>
      </c>
      <c r="I34" s="10">
        <f t="shared" si="3"/>
        <v>0</v>
      </c>
    </row>
    <row r="35" spans="1:9" x14ac:dyDescent="0.35">
      <c r="A35" s="4" t="s">
        <v>35</v>
      </c>
      <c r="B35" s="14"/>
      <c r="C35" s="14">
        <v>0</v>
      </c>
      <c r="D35" s="10">
        <f t="shared" si="4"/>
        <v>0</v>
      </c>
      <c r="E35" s="8"/>
      <c r="F35" s="4" t="s">
        <v>59</v>
      </c>
      <c r="G35" s="14"/>
      <c r="H35" s="14">
        <v>0</v>
      </c>
      <c r="I35" s="10">
        <f t="shared" si="3"/>
        <v>0</v>
      </c>
    </row>
    <row r="36" spans="1:9" x14ac:dyDescent="0.35">
      <c r="A36" s="4" t="s">
        <v>14</v>
      </c>
      <c r="B36" s="14"/>
      <c r="C36" s="14">
        <v>0</v>
      </c>
      <c r="D36" s="10">
        <f t="shared" si="4"/>
        <v>0</v>
      </c>
      <c r="E36" s="8"/>
      <c r="F36" s="4" t="s">
        <v>76</v>
      </c>
      <c r="G36" s="14"/>
      <c r="H36" s="14">
        <v>0</v>
      </c>
      <c r="I36" s="10">
        <f t="shared" si="3"/>
        <v>0</v>
      </c>
    </row>
    <row r="37" spans="1:9" x14ac:dyDescent="0.35">
      <c r="A37" s="4" t="s">
        <v>36</v>
      </c>
      <c r="B37" s="14">
        <v>0</v>
      </c>
      <c r="C37" s="14">
        <v>0</v>
      </c>
      <c r="D37" s="10">
        <f t="shared" si="4"/>
        <v>0</v>
      </c>
      <c r="E37" s="8"/>
      <c r="F37" s="24" t="str">
        <f>"Total " &amp; Table7159[[#Headers],[Entertainment]]</f>
        <v>Total Entertainment</v>
      </c>
      <c r="G37" s="19">
        <f>SUBTOTAL(109,Table7159[Budget])</f>
        <v>0</v>
      </c>
      <c r="H37" s="19">
        <f>SUBTOTAL(109,Table7159[Actual])</f>
        <v>0</v>
      </c>
      <c r="I37" s="13">
        <f>SUBTOTAL(109,Table7159[Difference])</f>
        <v>0</v>
      </c>
    </row>
    <row r="38" spans="1:9" x14ac:dyDescent="0.35">
      <c r="A38" s="4" t="s">
        <v>10</v>
      </c>
      <c r="B38" s="14"/>
      <c r="C38" s="14">
        <v>0</v>
      </c>
      <c r="D38" s="10">
        <f t="shared" si="4"/>
        <v>0</v>
      </c>
      <c r="E38" s="8"/>
      <c r="F38" s="8"/>
      <c r="G38" s="17"/>
      <c r="H38" s="17"/>
      <c r="I38" s="17"/>
    </row>
    <row r="39" spans="1:9" x14ac:dyDescent="0.35">
      <c r="A39" s="24" t="str">
        <f>"Total " &amp; Table20165[[#Headers],[TRANSPORTATION]]</f>
        <v>Total TRANSPORTATION</v>
      </c>
      <c r="B39" s="19">
        <f>SUBTOTAL(109,Table20165[Budget])</f>
        <v>0</v>
      </c>
      <c r="C39" s="19">
        <f>SUBTOTAL(109,Table20165[Actual])</f>
        <v>0</v>
      </c>
      <c r="D39" s="13">
        <f>SUBTOTAL(109,Table20165[Difference])</f>
        <v>0</v>
      </c>
      <c r="E39" s="8"/>
      <c r="F39" s="21" t="s">
        <v>32</v>
      </c>
      <c r="G39" s="22" t="s">
        <v>49</v>
      </c>
      <c r="H39" s="23" t="s">
        <v>0</v>
      </c>
      <c r="I39" s="23" t="s">
        <v>46</v>
      </c>
    </row>
    <row r="40" spans="1:9" x14ac:dyDescent="0.35">
      <c r="A40" s="8"/>
      <c r="B40" s="17"/>
      <c r="C40" s="17"/>
      <c r="D40" s="17"/>
      <c r="E40" s="8"/>
      <c r="F40" s="4" t="s">
        <v>29</v>
      </c>
      <c r="G40" s="14"/>
      <c r="H40" s="14">
        <v>0</v>
      </c>
      <c r="I40" s="10">
        <f>G40-H40</f>
        <v>0</v>
      </c>
    </row>
    <row r="41" spans="1:9" x14ac:dyDescent="0.35">
      <c r="A41" s="21" t="s">
        <v>15</v>
      </c>
      <c r="B41" s="22" t="s">
        <v>49</v>
      </c>
      <c r="C41" s="23" t="s">
        <v>0</v>
      </c>
      <c r="D41" s="23" t="s">
        <v>46</v>
      </c>
      <c r="E41" s="8"/>
      <c r="F41" s="4" t="s">
        <v>30</v>
      </c>
      <c r="G41" s="14">
        <v>0</v>
      </c>
      <c r="H41" s="14">
        <v>0</v>
      </c>
      <c r="I41" s="10">
        <f t="shared" ref="I41:I42" si="5">G41-H41</f>
        <v>0</v>
      </c>
    </row>
    <row r="42" spans="1:9" x14ac:dyDescent="0.35">
      <c r="A42" s="4" t="s">
        <v>53</v>
      </c>
      <c r="B42" s="14"/>
      <c r="C42" s="14">
        <v>0</v>
      </c>
      <c r="D42" s="10">
        <f t="shared" ref="D42:D48" si="6">B42-C42</f>
        <v>0</v>
      </c>
      <c r="E42" s="8"/>
      <c r="F42" s="4" t="s">
        <v>33</v>
      </c>
      <c r="G42" s="14"/>
      <c r="H42" s="14">
        <v>0</v>
      </c>
      <c r="I42" s="10">
        <f t="shared" si="5"/>
        <v>0</v>
      </c>
    </row>
    <row r="43" spans="1:9" x14ac:dyDescent="0.35">
      <c r="A43" s="4" t="s">
        <v>16</v>
      </c>
      <c r="B43" s="14"/>
      <c r="C43" s="14">
        <v>0</v>
      </c>
      <c r="D43" s="10">
        <f t="shared" si="6"/>
        <v>0</v>
      </c>
      <c r="E43" s="8"/>
      <c r="F43" s="4" t="s">
        <v>31</v>
      </c>
      <c r="G43" s="14"/>
      <c r="H43" s="14">
        <v>0</v>
      </c>
      <c r="I43" s="10">
        <f>G43-H43</f>
        <v>0</v>
      </c>
    </row>
    <row r="44" spans="1:9" x14ac:dyDescent="0.35">
      <c r="A44" s="4" t="s">
        <v>17</v>
      </c>
      <c r="B44" s="14"/>
      <c r="C44" s="14">
        <v>0</v>
      </c>
      <c r="D44" s="10">
        <f t="shared" si="6"/>
        <v>0</v>
      </c>
      <c r="E44" s="8"/>
      <c r="F44" s="4" t="s">
        <v>60</v>
      </c>
      <c r="G44" s="14"/>
      <c r="H44" s="14">
        <v>0</v>
      </c>
      <c r="I44" s="10">
        <f>G44-H44</f>
        <v>0</v>
      </c>
    </row>
    <row r="45" spans="1:9" x14ac:dyDescent="0.35">
      <c r="A45" s="4" t="s">
        <v>18</v>
      </c>
      <c r="B45" s="14">
        <v>0</v>
      </c>
      <c r="C45" s="14">
        <v>0</v>
      </c>
      <c r="D45" s="10">
        <f t="shared" si="6"/>
        <v>0</v>
      </c>
      <c r="E45" s="8"/>
      <c r="F45" s="4" t="s">
        <v>10</v>
      </c>
      <c r="G45" s="14"/>
      <c r="H45" s="14">
        <v>0</v>
      </c>
      <c r="I45" s="10">
        <f>G45-H45</f>
        <v>0</v>
      </c>
    </row>
    <row r="46" spans="1:9" x14ac:dyDescent="0.35">
      <c r="A46" s="4" t="s">
        <v>54</v>
      </c>
      <c r="B46" s="14"/>
      <c r="C46" s="14">
        <v>0</v>
      </c>
      <c r="D46" s="10">
        <f t="shared" si="6"/>
        <v>0</v>
      </c>
      <c r="E46" s="8"/>
      <c r="F46" s="24" t="str">
        <f>"Total " &amp; Table8160[[#Headers],[SAVINGS]]</f>
        <v>Total SAVINGS</v>
      </c>
      <c r="G46" s="19">
        <f>SUBTOTAL(109,Table8160[Budget])</f>
        <v>0</v>
      </c>
      <c r="H46" s="19">
        <f>SUBTOTAL(109,Table8160[Actual])</f>
        <v>0</v>
      </c>
      <c r="I46" s="13">
        <f>SUBTOTAL(109,Table8160[Difference])</f>
        <v>0</v>
      </c>
    </row>
    <row r="47" spans="1:9" x14ac:dyDescent="0.35">
      <c r="A47" s="4" t="s">
        <v>55</v>
      </c>
      <c r="B47" s="14"/>
      <c r="C47" s="14">
        <v>0</v>
      </c>
      <c r="D47" s="10">
        <f t="shared" si="6"/>
        <v>0</v>
      </c>
      <c r="E47" s="8"/>
      <c r="F47" s="8"/>
      <c r="G47" s="17"/>
      <c r="H47" s="17"/>
      <c r="I47" s="17"/>
    </row>
    <row r="48" spans="1:9" x14ac:dyDescent="0.35">
      <c r="A48" s="4" t="s">
        <v>10</v>
      </c>
      <c r="B48" s="14"/>
      <c r="C48" s="14">
        <v>0</v>
      </c>
      <c r="D48" s="10">
        <f t="shared" si="6"/>
        <v>0</v>
      </c>
      <c r="E48" s="8"/>
      <c r="F48" s="21" t="s">
        <v>34</v>
      </c>
      <c r="G48" s="22" t="s">
        <v>49</v>
      </c>
      <c r="H48" s="23" t="s">
        <v>0</v>
      </c>
      <c r="I48" s="23" t="s">
        <v>46</v>
      </c>
    </row>
    <row r="49" spans="1:9" x14ac:dyDescent="0.35">
      <c r="A49" s="24" t="str">
        <f>"Total " &amp; Table21166[[#Headers],[HEALTH]]</f>
        <v>Total HEALTH</v>
      </c>
      <c r="B49" s="19">
        <f>SUBTOTAL(109,Table21166[Budget])</f>
        <v>0</v>
      </c>
      <c r="C49" s="19">
        <f>SUBTOTAL(109,Table21166[Actual])</f>
        <v>0</v>
      </c>
      <c r="D49" s="13">
        <f>SUBTOTAL(109,Table21166[Difference])</f>
        <v>0</v>
      </c>
      <c r="E49" s="8"/>
      <c r="F49" s="4" t="s">
        <v>114</v>
      </c>
      <c r="G49" s="14">
        <v>0</v>
      </c>
      <c r="H49" s="14">
        <v>0</v>
      </c>
      <c r="I49" s="10">
        <f t="shared" ref="I49:I55" si="7">G49-H49</f>
        <v>0</v>
      </c>
    </row>
    <row r="50" spans="1:9" x14ac:dyDescent="0.35">
      <c r="A50" s="8"/>
      <c r="B50" s="17"/>
      <c r="C50" s="17"/>
      <c r="D50" s="17"/>
      <c r="E50" s="8"/>
      <c r="F50" s="4" t="s">
        <v>114</v>
      </c>
      <c r="G50" s="14">
        <v>0</v>
      </c>
      <c r="H50" s="14">
        <v>0</v>
      </c>
      <c r="I50" s="10">
        <f t="shared" si="7"/>
        <v>0</v>
      </c>
    </row>
    <row r="51" spans="1:9" x14ac:dyDescent="0.35">
      <c r="A51" s="21" t="s">
        <v>45</v>
      </c>
      <c r="B51" s="22" t="s">
        <v>49</v>
      </c>
      <c r="C51" s="23" t="s">
        <v>0</v>
      </c>
      <c r="D51" s="23" t="s">
        <v>46</v>
      </c>
      <c r="E51" s="8"/>
      <c r="F51" s="4" t="s">
        <v>114</v>
      </c>
      <c r="G51" s="14">
        <v>0</v>
      </c>
      <c r="H51" s="14">
        <v>0</v>
      </c>
      <c r="I51" s="10">
        <f t="shared" si="7"/>
        <v>0</v>
      </c>
    </row>
    <row r="52" spans="1:9" x14ac:dyDescent="0.35">
      <c r="A52" s="4" t="s">
        <v>6</v>
      </c>
      <c r="B52" s="14"/>
      <c r="C52" s="14">
        <v>0</v>
      </c>
      <c r="D52" s="10">
        <f t="shared" ref="D52:D55" si="8">B52-C52</f>
        <v>0</v>
      </c>
      <c r="E52" s="8"/>
      <c r="F52" s="4" t="s">
        <v>115</v>
      </c>
      <c r="G52" s="14">
        <v>0</v>
      </c>
      <c r="H52" s="14">
        <v>0</v>
      </c>
      <c r="I52" s="10">
        <f t="shared" si="7"/>
        <v>0</v>
      </c>
    </row>
    <row r="53" spans="1:9" x14ac:dyDescent="0.35">
      <c r="A53" s="4" t="s">
        <v>27</v>
      </c>
      <c r="B53" s="14"/>
      <c r="C53" s="14">
        <v>0</v>
      </c>
      <c r="D53" s="10">
        <f t="shared" si="8"/>
        <v>0</v>
      </c>
      <c r="E53" s="8"/>
      <c r="F53" s="4" t="s">
        <v>115</v>
      </c>
      <c r="G53" s="14">
        <v>0</v>
      </c>
      <c r="H53" s="14">
        <v>0</v>
      </c>
      <c r="I53" s="10">
        <f t="shared" si="7"/>
        <v>0</v>
      </c>
    </row>
    <row r="54" spans="1:9" x14ac:dyDescent="0.35">
      <c r="A54" s="4" t="s">
        <v>28</v>
      </c>
      <c r="B54" s="14">
        <v>0</v>
      </c>
      <c r="C54" s="14">
        <v>0</v>
      </c>
      <c r="D54" s="10">
        <f t="shared" si="8"/>
        <v>0</v>
      </c>
      <c r="E54" s="8"/>
      <c r="F54" s="4" t="s">
        <v>116</v>
      </c>
      <c r="G54" s="14"/>
      <c r="H54" s="14">
        <v>0</v>
      </c>
      <c r="I54" s="10">
        <f t="shared" si="7"/>
        <v>0</v>
      </c>
    </row>
    <row r="55" spans="1:9" x14ac:dyDescent="0.35">
      <c r="A55" s="4" t="s">
        <v>10</v>
      </c>
      <c r="B55" s="14"/>
      <c r="C55" s="14">
        <v>0</v>
      </c>
      <c r="D55" s="10">
        <f t="shared" si="8"/>
        <v>0</v>
      </c>
      <c r="E55" s="8"/>
      <c r="F55" s="4" t="s">
        <v>117</v>
      </c>
      <c r="G55" s="14"/>
      <c r="H55" s="14">
        <v>0</v>
      </c>
      <c r="I55" s="10">
        <f t="shared" si="7"/>
        <v>0</v>
      </c>
    </row>
    <row r="56" spans="1:9" x14ac:dyDescent="0.35">
      <c r="A56" s="24" t="str">
        <f>"Total " &amp; Table19164[[#Headers],[CHARITY/GIFTS]]</f>
        <v>Total CHARITY/GIFTS</v>
      </c>
      <c r="B56" s="19">
        <f>SUBTOTAL(109,Table19164[Budget])</f>
        <v>0</v>
      </c>
      <c r="C56" s="19">
        <f>SUBTOTAL(109,Table19164[Actual])</f>
        <v>0</v>
      </c>
      <c r="D56" s="13">
        <f>SUBTOTAL(109,Table19164[Difference])</f>
        <v>0</v>
      </c>
      <c r="E56" s="8"/>
      <c r="F56" s="37" t="str">
        <f>"Total " &amp; Table10161[[#Headers],[OBLIGATIONS]]</f>
        <v>Total OBLIGATIONS</v>
      </c>
      <c r="G56" s="38">
        <f>SUBTOTAL(109,Table10161[Budget])</f>
        <v>0</v>
      </c>
      <c r="H56" s="38">
        <f>SUBTOTAL(109,Table10161[Actual])</f>
        <v>0</v>
      </c>
      <c r="I56" s="39">
        <f>SUBTOTAL(109,Table10161[Difference])</f>
        <v>0</v>
      </c>
    </row>
    <row r="57" spans="1:9" x14ac:dyDescent="0.35">
      <c r="A57" s="8"/>
      <c r="B57" s="17"/>
      <c r="C57" s="17"/>
      <c r="D57" s="17"/>
      <c r="E57" s="8"/>
      <c r="F57" s="8"/>
      <c r="G57" s="17"/>
      <c r="H57" s="17"/>
      <c r="I57" s="17"/>
    </row>
    <row r="58" spans="1:9" x14ac:dyDescent="0.35">
      <c r="A58" s="21" t="s">
        <v>25</v>
      </c>
      <c r="B58" s="22" t="s">
        <v>49</v>
      </c>
      <c r="C58" s="23" t="s">
        <v>0</v>
      </c>
      <c r="D58" s="23" t="s">
        <v>46</v>
      </c>
      <c r="E58" s="8"/>
      <c r="F58" s="21" t="s">
        <v>8</v>
      </c>
      <c r="G58" s="22" t="s">
        <v>49</v>
      </c>
      <c r="H58" s="23" t="s">
        <v>0</v>
      </c>
      <c r="I58" s="23" t="s">
        <v>46</v>
      </c>
    </row>
    <row r="59" spans="1:9" x14ac:dyDescent="0.35">
      <c r="A59" s="4" t="s">
        <v>19</v>
      </c>
      <c r="B59" s="14"/>
      <c r="C59" s="14">
        <v>0</v>
      </c>
      <c r="D59" s="10">
        <f t="shared" ref="D59:D62" si="9">B59-C59</f>
        <v>0</v>
      </c>
      <c r="E59" s="8"/>
      <c r="F59" s="4" t="s">
        <v>68</v>
      </c>
      <c r="G59" s="9"/>
      <c r="H59" s="9">
        <v>0</v>
      </c>
      <c r="I59" s="10">
        <f t="shared" ref="I59:I62" si="10">G59-H59</f>
        <v>0</v>
      </c>
    </row>
    <row r="60" spans="1:9" x14ac:dyDescent="0.35">
      <c r="A60" s="4" t="s">
        <v>20</v>
      </c>
      <c r="B60" s="14"/>
      <c r="C60" s="14">
        <v>0</v>
      </c>
      <c r="D60" s="10">
        <f t="shared" si="9"/>
        <v>0</v>
      </c>
      <c r="E60" s="8"/>
      <c r="F60" s="4" t="s">
        <v>72</v>
      </c>
      <c r="G60" s="9"/>
      <c r="H60" s="9">
        <v>0</v>
      </c>
      <c r="I60" s="10">
        <f t="shared" si="10"/>
        <v>0</v>
      </c>
    </row>
    <row r="61" spans="1:9" x14ac:dyDescent="0.35">
      <c r="A61" s="4" t="s">
        <v>56</v>
      </c>
      <c r="B61" s="14"/>
      <c r="C61" s="14">
        <v>0</v>
      </c>
      <c r="D61" s="10">
        <f t="shared" si="9"/>
        <v>0</v>
      </c>
      <c r="E61" s="8"/>
      <c r="F61" s="4" t="s">
        <v>67</v>
      </c>
      <c r="G61" s="9"/>
      <c r="H61" s="9">
        <v>0</v>
      </c>
      <c r="I61" s="10">
        <f t="shared" si="10"/>
        <v>0</v>
      </c>
    </row>
    <row r="62" spans="1:9" x14ac:dyDescent="0.35">
      <c r="A62" s="4" t="s">
        <v>10</v>
      </c>
      <c r="B62" s="14"/>
      <c r="C62" s="14">
        <v>0</v>
      </c>
      <c r="D62" s="10">
        <f t="shared" si="9"/>
        <v>0</v>
      </c>
      <c r="E62" s="8"/>
      <c r="F62" s="4" t="s">
        <v>10</v>
      </c>
      <c r="G62" s="14"/>
      <c r="H62" s="14"/>
      <c r="I62" s="10">
        <f t="shared" si="10"/>
        <v>0</v>
      </c>
    </row>
    <row r="63" spans="1:9" x14ac:dyDescent="0.35">
      <c r="A63" s="24" t="str">
        <f>"Total " &amp; Table15163[[#Headers],[SUBSCRIPTIONS]]</f>
        <v>Total SUBSCRIPTIONS</v>
      </c>
      <c r="B63" s="19">
        <f>SUBTOTAL(109,Table15163[Budget])</f>
        <v>0</v>
      </c>
      <c r="C63" s="19">
        <f>SUBTOTAL(109,Table15163[Actual])</f>
        <v>0</v>
      </c>
      <c r="D63" s="13">
        <f>SUBTOTAL(109,Table15163[Difference])</f>
        <v>0</v>
      </c>
      <c r="E63" s="8"/>
      <c r="F63" s="24" t="str">
        <f>"Total " &amp; Table14162[[#Headers],[MISCELLANEOUS]]</f>
        <v>Total MISCELLANEOUS</v>
      </c>
      <c r="G63" s="19">
        <f>SUBTOTAL(109,Table14162[Budget])</f>
        <v>0</v>
      </c>
      <c r="H63" s="19">
        <f>SUBTOTAL(109,Table14162[Actual])</f>
        <v>0</v>
      </c>
      <c r="I63" s="13">
        <f>SUBTOTAL(109,Table14162[Difference])</f>
        <v>0</v>
      </c>
    </row>
    <row r="64" spans="1:9" x14ac:dyDescent="0.35">
      <c r="E64" s="8"/>
      <c r="F64" s="7"/>
    </row>
    <row r="65" spans="5:6" x14ac:dyDescent="0.35">
      <c r="E65" s="8"/>
      <c r="F65" s="7"/>
    </row>
    <row r="66" spans="5:6" x14ac:dyDescent="0.35">
      <c r="E66" s="8"/>
      <c r="F66" s="7"/>
    </row>
    <row r="67" spans="5:6" x14ac:dyDescent="0.35">
      <c r="E67" s="8"/>
      <c r="F67" s="7"/>
    </row>
    <row r="68" spans="5:6" x14ac:dyDescent="0.35">
      <c r="E68" s="8"/>
      <c r="F68" s="7"/>
    </row>
    <row r="69" spans="5:6" x14ac:dyDescent="0.35">
      <c r="E69" s="8"/>
      <c r="F69" s="7"/>
    </row>
    <row r="70" spans="5:6" x14ac:dyDescent="0.35">
      <c r="E70" s="8"/>
    </row>
    <row r="71" spans="5:6" x14ac:dyDescent="0.35">
      <c r="E71" s="8"/>
    </row>
    <row r="72" spans="5:6" x14ac:dyDescent="0.35">
      <c r="E72" s="8"/>
      <c r="F72" s="7"/>
    </row>
    <row r="73" spans="5:6" x14ac:dyDescent="0.35">
      <c r="E73" s="8"/>
      <c r="F73" s="7"/>
    </row>
    <row r="74" spans="5:6" x14ac:dyDescent="0.35">
      <c r="E74" s="15"/>
      <c r="F74" s="7"/>
    </row>
    <row r="75" spans="5:6" x14ac:dyDescent="0.35">
      <c r="E75" s="16"/>
      <c r="F75" s="7"/>
    </row>
    <row r="76" spans="5:6" x14ac:dyDescent="0.35">
      <c r="E76" s="16"/>
      <c r="F76" s="7"/>
    </row>
    <row r="77" spans="5:6" x14ac:dyDescent="0.35">
      <c r="E77" s="16"/>
      <c r="F77" s="7"/>
    </row>
    <row r="78" spans="5:6" x14ac:dyDescent="0.35">
      <c r="E78" s="16"/>
      <c r="F78" s="7"/>
    </row>
    <row r="79" spans="5:6" x14ac:dyDescent="0.35">
      <c r="E79" s="8"/>
      <c r="F79" s="7"/>
    </row>
    <row r="80" spans="5:6" x14ac:dyDescent="0.35">
      <c r="E80" s="15"/>
      <c r="F80" s="7"/>
    </row>
    <row r="81" spans="5:6" x14ac:dyDescent="0.35">
      <c r="E81" s="16"/>
      <c r="F81" s="7"/>
    </row>
    <row r="82" spans="5:6" x14ac:dyDescent="0.35">
      <c r="E82" s="16"/>
    </row>
    <row r="83" spans="5:6" x14ac:dyDescent="0.35">
      <c r="E83" s="16"/>
    </row>
    <row r="84" spans="5:6" x14ac:dyDescent="0.35">
      <c r="E84" s="20" t="s">
        <v>48</v>
      </c>
    </row>
    <row r="85" spans="5:6" x14ac:dyDescent="0.35">
      <c r="E85" s="16"/>
    </row>
    <row r="86" spans="5:6" x14ac:dyDescent="0.35">
      <c r="E86" s="16"/>
    </row>
    <row r="87" spans="5:6" x14ac:dyDescent="0.35">
      <c r="E87" s="16"/>
    </row>
    <row r="88" spans="5:6" x14ac:dyDescent="0.35">
      <c r="E88" s="16"/>
    </row>
    <row r="89" spans="5:6" x14ac:dyDescent="0.35">
      <c r="E89" s="16"/>
    </row>
    <row r="90" spans="5:6" x14ac:dyDescent="0.35">
      <c r="E90" s="8"/>
    </row>
    <row r="91" spans="5:6" x14ac:dyDescent="0.35">
      <c r="E91" s="15"/>
    </row>
    <row r="92" spans="5:6" x14ac:dyDescent="0.35">
      <c r="E92" s="7"/>
    </row>
    <row r="93" spans="5:6" x14ac:dyDescent="0.35">
      <c r="E93" s="7"/>
    </row>
    <row r="94" spans="5:6" x14ac:dyDescent="0.35">
      <c r="E94" s="7"/>
    </row>
    <row r="95" spans="5:6" x14ac:dyDescent="0.35">
      <c r="E95" s="7"/>
    </row>
    <row r="96" spans="5:6" x14ac:dyDescent="0.35">
      <c r="E96" s="7"/>
    </row>
    <row r="97" spans="5:5" x14ac:dyDescent="0.35">
      <c r="E97" s="7"/>
    </row>
    <row r="98" spans="5:5" x14ac:dyDescent="0.35">
      <c r="E98" s="7"/>
    </row>
    <row r="99" spans="5:5" x14ac:dyDescent="0.35">
      <c r="E99" s="7"/>
    </row>
    <row r="100" spans="5:5" x14ac:dyDescent="0.35">
      <c r="E100" s="7"/>
    </row>
    <row r="101" spans="5:5" x14ac:dyDescent="0.35">
      <c r="E101" s="7"/>
    </row>
    <row r="122" spans="6:6" x14ac:dyDescent="0.35">
      <c r="F122" s="7"/>
    </row>
    <row r="123" spans="6:6" x14ac:dyDescent="0.35">
      <c r="F123" s="7"/>
    </row>
    <row r="124" spans="6:6" x14ac:dyDescent="0.35">
      <c r="F124" s="7"/>
    </row>
    <row r="125" spans="6:6" x14ac:dyDescent="0.35">
      <c r="F125" s="7"/>
    </row>
    <row r="126" spans="6:6" x14ac:dyDescent="0.35">
      <c r="F126" s="7"/>
    </row>
    <row r="127" spans="6:6" x14ac:dyDescent="0.35">
      <c r="F127" s="7"/>
    </row>
    <row r="128" spans="6:6" x14ac:dyDescent="0.35">
      <c r="F128" s="7"/>
    </row>
    <row r="131" spans="5:6" x14ac:dyDescent="0.35">
      <c r="F131" s="7"/>
    </row>
    <row r="132" spans="5:6" x14ac:dyDescent="0.35">
      <c r="F132" s="7"/>
    </row>
    <row r="133" spans="5:6" x14ac:dyDescent="0.35">
      <c r="F133" s="7"/>
    </row>
    <row r="134" spans="5:6" x14ac:dyDescent="0.35">
      <c r="F134" s="7"/>
    </row>
    <row r="135" spans="5:6" x14ac:dyDescent="0.35">
      <c r="F135" s="7"/>
    </row>
    <row r="136" spans="5:6" x14ac:dyDescent="0.35">
      <c r="F136" s="7"/>
    </row>
    <row r="137" spans="5:6" x14ac:dyDescent="0.35">
      <c r="F137" s="7"/>
    </row>
    <row r="141" spans="5:6" x14ac:dyDescent="0.35">
      <c r="E141" s="6"/>
    </row>
    <row r="142" spans="5:6" x14ac:dyDescent="0.35">
      <c r="E142" s="7"/>
    </row>
    <row r="143" spans="5:6" x14ac:dyDescent="0.35">
      <c r="E143" s="7"/>
    </row>
    <row r="144" spans="5:6" x14ac:dyDescent="0.35">
      <c r="E144" s="7"/>
    </row>
    <row r="145" spans="5:5" x14ac:dyDescent="0.35">
      <c r="E145" s="7"/>
    </row>
    <row r="146" spans="5:5" x14ac:dyDescent="0.35">
      <c r="E146" s="7"/>
    </row>
    <row r="147" spans="5:5" x14ac:dyDescent="0.35">
      <c r="E147" s="7"/>
    </row>
    <row r="148" spans="5:5" x14ac:dyDescent="0.35">
      <c r="E148" s="7"/>
    </row>
    <row r="150" spans="5:5" x14ac:dyDescent="0.35">
      <c r="E150" s="6"/>
    </row>
    <row r="151" spans="5:5" x14ac:dyDescent="0.35">
      <c r="E151" s="7"/>
    </row>
    <row r="152" spans="5:5" x14ac:dyDescent="0.35">
      <c r="E152" s="7"/>
    </row>
    <row r="153" spans="5:5" x14ac:dyDescent="0.35">
      <c r="E153" s="7"/>
    </row>
    <row r="154" spans="5:5" x14ac:dyDescent="0.35">
      <c r="E154" s="7"/>
    </row>
    <row r="155" spans="5:5" x14ac:dyDescent="0.35">
      <c r="E155" s="7"/>
    </row>
    <row r="156" spans="5:5" x14ac:dyDescent="0.35">
      <c r="E156" s="7"/>
    </row>
    <row r="157" spans="5:5" x14ac:dyDescent="0.35">
      <c r="E157" s="7"/>
    </row>
  </sheetData>
  <sheetProtection formatCells="0" formatColumns="0" formatRows="0" insertColumns="0" insertRows="0" insertHyperlinks="0" deleteColumns="0" deleteRows="0" autoFilter="0" pivotTables="0"/>
  <mergeCells count="1">
    <mergeCell ref="H2:I2"/>
  </mergeCells>
  <conditionalFormatting sqref="D32:D38 D52:D55 D59:D62 D16:D28 I49:I55 D5:D13 D42:D48 I11:I19 I23:I36 I40:I45 I59:I62">
    <cfRule type="cellIs" dxfId="1554" priority="2" stopIfTrue="1" operator="lessThan">
      <formula>0</formula>
    </cfRule>
  </conditionalFormatting>
  <conditionalFormatting sqref="I5">
    <cfRule type="expression" dxfId="1553" priority="1">
      <formula>IF(,,H5&gt;G5)</formula>
    </cfRule>
  </conditionalFormatting>
  <pageMargins left="0.7" right="0.7" top="0.75" bottom="0.75" header="0.3" footer="0.3"/>
  <tableParts count="11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7"/>
  <sheetViews>
    <sheetView showGridLines="0" workbookViewId="0">
      <selection activeCell="H16" sqref="H16"/>
    </sheetView>
  </sheetViews>
  <sheetFormatPr defaultColWidth="9" defaultRowHeight="14.4" x14ac:dyDescent="0.35"/>
  <cols>
    <col min="1" max="1" width="25.3984375" style="1" customWidth="1"/>
    <col min="2" max="3" width="9.59765625" style="1" customWidth="1"/>
    <col min="4" max="4" width="10" style="1" bestFit="1" customWidth="1"/>
    <col min="5" max="5" width="2.59765625" style="1" customWidth="1"/>
    <col min="6" max="6" width="21.5" style="1" customWidth="1"/>
    <col min="7" max="8" width="9.59765625" style="1" customWidth="1"/>
    <col min="9" max="9" width="11.09765625" style="1" customWidth="1"/>
    <col min="10" max="16384" width="9" style="1"/>
  </cols>
  <sheetData>
    <row r="1" spans="1:9" ht="26.1" customHeight="1" x14ac:dyDescent="0.35">
      <c r="A1" s="34" t="s">
        <v>86</v>
      </c>
      <c r="B1" s="34"/>
      <c r="C1" s="34"/>
      <c r="D1" s="34"/>
      <c r="E1" s="34"/>
      <c r="F1" s="34"/>
      <c r="G1" s="34"/>
      <c r="H1" s="34"/>
      <c r="I1" s="34"/>
    </row>
    <row r="2" spans="1:9" s="2" customFormat="1" ht="13.8" x14ac:dyDescent="0.3">
      <c r="A2" s="35"/>
      <c r="B2" s="33"/>
      <c r="C2" s="33"/>
      <c r="D2" s="33"/>
      <c r="E2" s="31"/>
      <c r="F2" s="31"/>
      <c r="G2" s="32"/>
      <c r="H2" s="47"/>
      <c r="I2" s="47"/>
    </row>
    <row r="3" spans="1:9" s="2" customFormat="1" ht="12" x14ac:dyDescent="0.3">
      <c r="E3" s="3"/>
    </row>
    <row r="4" spans="1:9" x14ac:dyDescent="0.35">
      <c r="A4" s="21" t="s">
        <v>1</v>
      </c>
      <c r="B4" s="22" t="s">
        <v>49</v>
      </c>
      <c r="C4" s="23" t="s">
        <v>0</v>
      </c>
      <c r="D4" s="23" t="s">
        <v>46</v>
      </c>
      <c r="E4" s="18" t="s">
        <v>48</v>
      </c>
      <c r="F4" s="26" t="s">
        <v>51</v>
      </c>
      <c r="G4" s="27" t="s">
        <v>49</v>
      </c>
      <c r="H4" s="27" t="s">
        <v>0</v>
      </c>
      <c r="I4" s="27" t="s">
        <v>46</v>
      </c>
    </row>
    <row r="5" spans="1:9" x14ac:dyDescent="0.35">
      <c r="A5" s="4" t="s">
        <v>7</v>
      </c>
      <c r="B5" s="9"/>
      <c r="C5" s="9"/>
      <c r="D5" s="10">
        <f t="shared" ref="D5:D11" si="0">C5-B5</f>
        <v>0</v>
      </c>
      <c r="E5" s="8"/>
      <c r="F5" s="28" t="s">
        <v>2</v>
      </c>
      <c r="G5" s="25">
        <f>Table2255[[#Totals],[Budget]]</f>
        <v>0</v>
      </c>
      <c r="H5" s="25">
        <f>Table2255[[#Totals],[Actual]]</f>
        <v>0</v>
      </c>
      <c r="I5" s="25">
        <f>G5-H5</f>
        <v>0</v>
      </c>
    </row>
    <row r="6" spans="1:9" ht="15" thickBot="1" x14ac:dyDescent="0.4">
      <c r="A6" s="4" t="s">
        <v>119</v>
      </c>
      <c r="B6" s="9">
        <v>0</v>
      </c>
      <c r="C6" s="9">
        <v>0</v>
      </c>
      <c r="D6" s="10">
        <f t="shared" si="0"/>
        <v>0</v>
      </c>
      <c r="E6" s="8"/>
      <c r="F6" s="28" t="s">
        <v>3</v>
      </c>
      <c r="G6" s="25">
        <f>SUM(,Table5256[[#Totals],[Budget]],Table20264[[#Totals],[Budget]],Table21265[[#Totals],[Budget]],Table19263[[#Totals],[Budget]],Table15262[[#Totals],[Budget]],Table14261[[#Totals],[Budget]],Table10260[[#Totals],[Budget]],Table8259[[#Totals],[Budget]],Table7258[[#Totals],[Budget]],Table6257[[#Totals],[Budget]])</f>
        <v>0</v>
      </c>
      <c r="H6" s="25">
        <f>SUM(Table5256[[#Totals],[Actual]],Table20264[[#Totals],[Actual]],Table21265[[#Totals],[Actual]],Table19263[[#Totals],[Actual]],Table15262[[#Totals],[Actual]],Table14261[[#Totals],[Actual]],Table10260[[#Totals],[Actual]],Table8259[[#Totals],[Actual]],Table7258[[#Totals],[Actual]],Table6257[[#Totals],[Actual]])</f>
        <v>0</v>
      </c>
      <c r="I6" s="25">
        <f>G6-H6</f>
        <v>0</v>
      </c>
    </row>
    <row r="7" spans="1:9" ht="15" thickTop="1" x14ac:dyDescent="0.35">
      <c r="A7" s="4" t="s">
        <v>94</v>
      </c>
      <c r="B7" s="9"/>
      <c r="C7" s="9">
        <v>0</v>
      </c>
      <c r="D7" s="10">
        <f t="shared" si="0"/>
        <v>0</v>
      </c>
      <c r="E7" s="8"/>
      <c r="F7" s="29" t="s">
        <v>4</v>
      </c>
      <c r="G7" s="30">
        <f>G5-G6</f>
        <v>0</v>
      </c>
      <c r="H7" s="30">
        <f>H5-H6</f>
        <v>0</v>
      </c>
      <c r="I7" s="30">
        <f>H7-G7</f>
        <v>0</v>
      </c>
    </row>
    <row r="8" spans="1:9" s="2" customFormat="1" x14ac:dyDescent="0.35">
      <c r="A8" s="4" t="s">
        <v>121</v>
      </c>
      <c r="B8" s="9"/>
      <c r="C8" s="9">
        <v>0</v>
      </c>
      <c r="D8" s="10">
        <f t="shared" si="0"/>
        <v>0</v>
      </c>
      <c r="E8" s="11"/>
      <c r="F8" s="11"/>
      <c r="G8" s="11"/>
      <c r="H8" s="11"/>
      <c r="I8" s="11"/>
    </row>
    <row r="9" spans="1:9" x14ac:dyDescent="0.35">
      <c r="A9" s="4" t="s">
        <v>50</v>
      </c>
      <c r="B9" s="9"/>
      <c r="C9" s="9">
        <v>0</v>
      </c>
      <c r="D9" s="10">
        <f t="shared" si="0"/>
        <v>0</v>
      </c>
      <c r="E9" s="8"/>
      <c r="F9" s="11"/>
      <c r="G9" s="11"/>
      <c r="H9" s="11"/>
      <c r="I9" s="11"/>
    </row>
    <row r="10" spans="1:9" x14ac:dyDescent="0.35">
      <c r="A10" s="4" t="s">
        <v>47</v>
      </c>
      <c r="B10" s="9"/>
      <c r="C10" s="9">
        <v>0</v>
      </c>
      <c r="D10" s="10">
        <f t="shared" si="0"/>
        <v>0</v>
      </c>
      <c r="E10" s="8"/>
      <c r="F10" s="21" t="s">
        <v>26</v>
      </c>
      <c r="G10" s="22" t="s">
        <v>49</v>
      </c>
      <c r="H10" s="23" t="s">
        <v>0</v>
      </c>
      <c r="I10" s="23" t="s">
        <v>46</v>
      </c>
    </row>
    <row r="11" spans="1:9" x14ac:dyDescent="0.35">
      <c r="A11" s="4" t="s">
        <v>10</v>
      </c>
      <c r="B11" s="9"/>
      <c r="C11" s="9">
        <v>0</v>
      </c>
      <c r="D11" s="10">
        <f t="shared" si="0"/>
        <v>0</v>
      </c>
      <c r="E11" s="8"/>
      <c r="F11" s="4" t="s">
        <v>5</v>
      </c>
      <c r="G11" s="14">
        <v>0</v>
      </c>
      <c r="H11" s="14"/>
      <c r="I11" s="10">
        <f t="shared" ref="I11:I19" si="1">G11-H11</f>
        <v>0</v>
      </c>
    </row>
    <row r="12" spans="1:9" x14ac:dyDescent="0.35">
      <c r="A12" s="4" t="s">
        <v>120</v>
      </c>
      <c r="B12" s="12"/>
      <c r="C12" s="12">
        <v>0</v>
      </c>
      <c r="D12" s="10">
        <f>C12-B12</f>
        <v>0</v>
      </c>
      <c r="E12" s="8"/>
      <c r="F12" s="4" t="s">
        <v>69</v>
      </c>
      <c r="G12" s="14">
        <v>0</v>
      </c>
      <c r="H12" s="14">
        <v>0</v>
      </c>
      <c r="I12" s="10">
        <f t="shared" si="1"/>
        <v>0</v>
      </c>
    </row>
    <row r="13" spans="1:9" x14ac:dyDescent="0.35">
      <c r="A13" s="37" t="str">
        <f>"Total " &amp; Table2255[[#Headers],[INCOME]]</f>
        <v>Total INCOME</v>
      </c>
      <c r="B13" s="38">
        <f>SUBTOTAL(109,Table2255[Budget])</f>
        <v>0</v>
      </c>
      <c r="C13" s="38">
        <f>SUBTOTAL(109,Table2255[Actual])</f>
        <v>0</v>
      </c>
      <c r="D13" s="39">
        <f>SUBTOTAL(109,Table2255[Difference])</f>
        <v>0</v>
      </c>
      <c r="E13" s="8"/>
      <c r="F13" s="4" t="s">
        <v>92</v>
      </c>
      <c r="G13" s="14">
        <v>0</v>
      </c>
      <c r="H13" s="14">
        <v>0</v>
      </c>
      <c r="I13" s="10">
        <f t="shared" si="1"/>
        <v>0</v>
      </c>
    </row>
    <row r="14" spans="1:9" x14ac:dyDescent="0.35">
      <c r="A14" s="8"/>
      <c r="B14" s="8"/>
      <c r="C14" s="8"/>
      <c r="D14" s="8"/>
      <c r="E14" s="8"/>
      <c r="F14" s="4" t="s">
        <v>57</v>
      </c>
      <c r="G14" s="14">
        <v>0</v>
      </c>
      <c r="H14" s="14">
        <v>0</v>
      </c>
      <c r="I14" s="10">
        <f t="shared" si="1"/>
        <v>0</v>
      </c>
    </row>
    <row r="15" spans="1:9" x14ac:dyDescent="0.35">
      <c r="A15" s="21" t="s">
        <v>9</v>
      </c>
      <c r="B15" s="22" t="s">
        <v>49</v>
      </c>
      <c r="C15" s="23" t="s">
        <v>0</v>
      </c>
      <c r="D15" s="23" t="s">
        <v>46</v>
      </c>
      <c r="E15" s="8"/>
      <c r="F15" s="4" t="s">
        <v>58</v>
      </c>
      <c r="G15" s="14">
        <v>0</v>
      </c>
      <c r="H15" s="14">
        <v>0</v>
      </c>
      <c r="I15" s="10">
        <f t="shared" si="1"/>
        <v>0</v>
      </c>
    </row>
    <row r="16" spans="1:9" x14ac:dyDescent="0.35">
      <c r="A16" s="4" t="s">
        <v>63</v>
      </c>
      <c r="B16" s="9"/>
      <c r="C16" s="9"/>
      <c r="D16" s="10">
        <f>B16-C16</f>
        <v>0</v>
      </c>
      <c r="E16" s="8"/>
      <c r="F16" s="4" t="s">
        <v>40</v>
      </c>
      <c r="G16" s="14"/>
      <c r="H16" s="14"/>
      <c r="I16" s="10">
        <f t="shared" si="1"/>
        <v>0</v>
      </c>
    </row>
    <row r="17" spans="1:9" x14ac:dyDescent="0.35">
      <c r="A17" s="4" t="s">
        <v>66</v>
      </c>
      <c r="B17" s="9">
        <v>0</v>
      </c>
      <c r="C17" s="9">
        <v>0</v>
      </c>
      <c r="D17" s="10">
        <f t="shared" ref="D17:D28" si="2">B17-C17</f>
        <v>0</v>
      </c>
      <c r="E17" s="8"/>
      <c r="F17" s="4" t="s">
        <v>71</v>
      </c>
      <c r="G17" s="14">
        <v>0</v>
      </c>
      <c r="H17" s="14">
        <v>0</v>
      </c>
      <c r="I17" s="10">
        <f t="shared" si="1"/>
        <v>0</v>
      </c>
    </row>
    <row r="18" spans="1:9" x14ac:dyDescent="0.35">
      <c r="A18" s="4" t="s">
        <v>62</v>
      </c>
      <c r="B18" s="9">
        <v>0</v>
      </c>
      <c r="C18" s="9">
        <v>0</v>
      </c>
      <c r="D18" s="10">
        <f t="shared" si="2"/>
        <v>0</v>
      </c>
      <c r="E18" s="8"/>
      <c r="F18" s="4" t="s">
        <v>74</v>
      </c>
      <c r="G18" s="14">
        <v>0</v>
      </c>
      <c r="H18" s="14">
        <v>0</v>
      </c>
      <c r="I18" s="10">
        <f t="shared" si="1"/>
        <v>0</v>
      </c>
    </row>
    <row r="19" spans="1:9" x14ac:dyDescent="0.35">
      <c r="A19" s="4" t="s">
        <v>61</v>
      </c>
      <c r="B19" s="9">
        <v>0</v>
      </c>
      <c r="C19" s="9">
        <v>0</v>
      </c>
      <c r="D19" s="10">
        <f t="shared" si="2"/>
        <v>0</v>
      </c>
      <c r="E19" s="8"/>
      <c r="F19" s="4" t="s">
        <v>70</v>
      </c>
      <c r="G19" s="14"/>
      <c r="H19" s="14"/>
      <c r="I19" s="10">
        <f t="shared" si="1"/>
        <v>0</v>
      </c>
    </row>
    <row r="20" spans="1:9" s="5" customFormat="1" x14ac:dyDescent="0.35">
      <c r="A20" s="4" t="s">
        <v>64</v>
      </c>
      <c r="B20" s="9">
        <v>0</v>
      </c>
      <c r="C20" s="9">
        <v>0</v>
      </c>
      <c r="D20" s="10">
        <f t="shared" si="2"/>
        <v>0</v>
      </c>
      <c r="E20" s="8"/>
      <c r="F20" s="37" t="str">
        <f>"Total " &amp; Table6257[[#Headers],[DAILY LIVING]]</f>
        <v>Total DAILY LIVING</v>
      </c>
      <c r="G20" s="38">
        <f>SUBTOTAL(109,Table6257[Budget])</f>
        <v>0</v>
      </c>
      <c r="H20" s="38">
        <f>SUBTOTAL(109,Table6257[Actual])</f>
        <v>0</v>
      </c>
      <c r="I20" s="39">
        <f>SUBTOTAL(109,Table6257[Difference])</f>
        <v>0</v>
      </c>
    </row>
    <row r="21" spans="1:9" x14ac:dyDescent="0.35">
      <c r="A21" s="4" t="s">
        <v>118</v>
      </c>
      <c r="B21" s="9">
        <v>0</v>
      </c>
      <c r="C21" s="9">
        <v>0</v>
      </c>
      <c r="D21" s="10">
        <f t="shared" si="2"/>
        <v>0</v>
      </c>
      <c r="E21" s="8"/>
      <c r="F21" s="8"/>
      <c r="G21" s="17"/>
      <c r="H21" s="17"/>
      <c r="I21" s="17"/>
    </row>
    <row r="22" spans="1:9" x14ac:dyDescent="0.35">
      <c r="A22" s="4" t="s">
        <v>39</v>
      </c>
      <c r="B22" s="9">
        <v>0</v>
      </c>
      <c r="C22" s="9">
        <v>0</v>
      </c>
      <c r="D22" s="10">
        <f t="shared" si="2"/>
        <v>0</v>
      </c>
      <c r="E22" s="8"/>
      <c r="F22" s="21" t="s">
        <v>91</v>
      </c>
      <c r="G22" s="22" t="s">
        <v>49</v>
      </c>
      <c r="H22" s="23" t="s">
        <v>0</v>
      </c>
      <c r="I22" s="23" t="s">
        <v>46</v>
      </c>
    </row>
    <row r="23" spans="1:9" x14ac:dyDescent="0.35">
      <c r="A23" s="4" t="s">
        <v>65</v>
      </c>
      <c r="B23" s="9">
        <v>0</v>
      </c>
      <c r="C23" s="9">
        <v>0</v>
      </c>
      <c r="D23" s="10">
        <f t="shared" si="2"/>
        <v>0</v>
      </c>
      <c r="E23" s="8"/>
      <c r="F23" s="4" t="s">
        <v>93</v>
      </c>
      <c r="G23" s="14"/>
      <c r="H23" s="14">
        <v>0</v>
      </c>
      <c r="I23" s="10">
        <f t="shared" ref="I23:I36" si="3">G23-H23</f>
        <v>0</v>
      </c>
    </row>
    <row r="24" spans="1:9" x14ac:dyDescent="0.35">
      <c r="A24" s="4" t="s">
        <v>38</v>
      </c>
      <c r="B24" s="9">
        <v>0</v>
      </c>
      <c r="C24" s="9">
        <v>0</v>
      </c>
      <c r="D24" s="10">
        <f t="shared" si="2"/>
        <v>0</v>
      </c>
      <c r="E24" s="8"/>
      <c r="F24" s="4"/>
      <c r="G24" s="14"/>
      <c r="H24" s="14">
        <v>0</v>
      </c>
      <c r="I24" s="10">
        <f t="shared" si="3"/>
        <v>0</v>
      </c>
    </row>
    <row r="25" spans="1:9" x14ac:dyDescent="0.35">
      <c r="A25" s="4" t="s">
        <v>37</v>
      </c>
      <c r="B25" s="9">
        <v>0</v>
      </c>
      <c r="C25" s="9">
        <v>0</v>
      </c>
      <c r="D25" s="10">
        <f>B25-C25</f>
        <v>0</v>
      </c>
      <c r="E25" s="8"/>
      <c r="F25" s="4"/>
      <c r="G25" s="14"/>
      <c r="H25" s="14">
        <v>0</v>
      </c>
      <c r="I25" s="10">
        <f t="shared" si="3"/>
        <v>0</v>
      </c>
    </row>
    <row r="26" spans="1:9" x14ac:dyDescent="0.35">
      <c r="A26" s="4" t="s">
        <v>73</v>
      </c>
      <c r="B26" s="9">
        <v>0</v>
      </c>
      <c r="C26" s="9">
        <v>0</v>
      </c>
      <c r="D26" s="10">
        <f t="shared" si="2"/>
        <v>0</v>
      </c>
      <c r="E26" s="8"/>
      <c r="F26" s="4" t="s">
        <v>21</v>
      </c>
      <c r="G26" s="14"/>
      <c r="H26" s="14">
        <v>0</v>
      </c>
      <c r="I26" s="10">
        <f t="shared" si="3"/>
        <v>0</v>
      </c>
    </row>
    <row r="27" spans="1:9" x14ac:dyDescent="0.35">
      <c r="A27" s="36" t="s">
        <v>75</v>
      </c>
      <c r="B27" s="9">
        <v>0</v>
      </c>
      <c r="C27" s="9">
        <v>0</v>
      </c>
      <c r="D27" s="10">
        <f t="shared" si="2"/>
        <v>0</v>
      </c>
      <c r="E27" s="8"/>
      <c r="F27" s="4" t="s">
        <v>41</v>
      </c>
      <c r="G27" s="14"/>
      <c r="H27" s="14">
        <v>0</v>
      </c>
      <c r="I27" s="10">
        <f t="shared" si="3"/>
        <v>0</v>
      </c>
    </row>
    <row r="28" spans="1:9" x14ac:dyDescent="0.35">
      <c r="A28" s="4" t="s">
        <v>128</v>
      </c>
      <c r="B28" s="14"/>
      <c r="C28" s="14"/>
      <c r="D28" s="10">
        <f t="shared" si="2"/>
        <v>0</v>
      </c>
      <c r="E28" s="8"/>
      <c r="F28" s="4" t="s">
        <v>42</v>
      </c>
      <c r="G28" s="14"/>
      <c r="H28" s="14">
        <v>0</v>
      </c>
      <c r="I28" s="10">
        <f t="shared" si="3"/>
        <v>0</v>
      </c>
    </row>
    <row r="29" spans="1:9" x14ac:dyDescent="0.35">
      <c r="A29" s="24" t="str">
        <f>"Total " &amp; Table5256[[#Headers],[HOME EXPENSES]]</f>
        <v>Total HOME EXPENSES</v>
      </c>
      <c r="B29" s="19">
        <f>SUBTOTAL(109,Table5256[Budget])</f>
        <v>0</v>
      </c>
      <c r="C29" s="19">
        <f>SUBTOTAL(109,Table5256[Actual])</f>
        <v>0</v>
      </c>
      <c r="D29" s="13">
        <f>SUBTOTAL(109,Table5256[Difference])</f>
        <v>0</v>
      </c>
      <c r="E29" s="8"/>
      <c r="F29" s="4"/>
      <c r="G29" s="14"/>
      <c r="H29" s="14">
        <v>0</v>
      </c>
      <c r="I29" s="10">
        <f t="shared" si="3"/>
        <v>0</v>
      </c>
    </row>
    <row r="30" spans="1:9" x14ac:dyDescent="0.35">
      <c r="A30" s="8"/>
      <c r="B30" s="17"/>
      <c r="C30" s="17"/>
      <c r="D30" s="17"/>
      <c r="E30" s="8"/>
      <c r="F30" s="4" t="s">
        <v>23</v>
      </c>
      <c r="G30" s="14"/>
      <c r="H30" s="14">
        <v>0</v>
      </c>
      <c r="I30" s="10">
        <f t="shared" si="3"/>
        <v>0</v>
      </c>
    </row>
    <row r="31" spans="1:9" x14ac:dyDescent="0.35">
      <c r="A31" s="21" t="s">
        <v>11</v>
      </c>
      <c r="B31" s="22" t="s">
        <v>49</v>
      </c>
      <c r="C31" s="23" t="s">
        <v>0</v>
      </c>
      <c r="D31" s="23" t="s">
        <v>46</v>
      </c>
      <c r="E31" s="8"/>
      <c r="F31" s="4" t="s">
        <v>43</v>
      </c>
      <c r="G31" s="14"/>
      <c r="H31" s="14">
        <v>0</v>
      </c>
      <c r="I31" s="10">
        <f t="shared" si="3"/>
        <v>0</v>
      </c>
    </row>
    <row r="32" spans="1:9" x14ac:dyDescent="0.35">
      <c r="A32" s="4" t="s">
        <v>12</v>
      </c>
      <c r="B32" s="14">
        <v>0</v>
      </c>
      <c r="C32" s="14">
        <v>0</v>
      </c>
      <c r="D32" s="10">
        <f>B32-C32</f>
        <v>0</v>
      </c>
      <c r="E32" s="8"/>
      <c r="F32" s="4" t="s">
        <v>24</v>
      </c>
      <c r="G32" s="14"/>
      <c r="H32" s="14">
        <v>0</v>
      </c>
      <c r="I32" s="10">
        <f t="shared" si="3"/>
        <v>0</v>
      </c>
    </row>
    <row r="33" spans="1:9" x14ac:dyDescent="0.35">
      <c r="A33" s="4" t="s">
        <v>52</v>
      </c>
      <c r="B33" s="14">
        <v>0</v>
      </c>
      <c r="C33" s="14">
        <v>0</v>
      </c>
      <c r="D33" s="10">
        <f t="shared" ref="D33:D38" si="4">B33-C33</f>
        <v>0</v>
      </c>
      <c r="E33" s="8"/>
      <c r="F33" s="4" t="s">
        <v>22</v>
      </c>
      <c r="G33" s="14"/>
      <c r="H33" s="14">
        <v>0</v>
      </c>
      <c r="I33" s="10">
        <f t="shared" si="3"/>
        <v>0</v>
      </c>
    </row>
    <row r="34" spans="1:9" x14ac:dyDescent="0.35">
      <c r="A34" s="4" t="s">
        <v>13</v>
      </c>
      <c r="B34" s="14"/>
      <c r="C34" s="14"/>
      <c r="D34" s="10">
        <f>B34-C34</f>
        <v>0</v>
      </c>
      <c r="E34" s="8"/>
      <c r="F34" s="4" t="s">
        <v>44</v>
      </c>
      <c r="G34" s="14"/>
      <c r="H34" s="14">
        <v>0</v>
      </c>
      <c r="I34" s="10">
        <f t="shared" si="3"/>
        <v>0</v>
      </c>
    </row>
    <row r="35" spans="1:9" x14ac:dyDescent="0.35">
      <c r="A35" s="4" t="s">
        <v>35</v>
      </c>
      <c r="B35" s="14"/>
      <c r="C35" s="14"/>
      <c r="D35" s="10">
        <f t="shared" si="4"/>
        <v>0</v>
      </c>
      <c r="E35" s="8"/>
      <c r="F35" s="4" t="s">
        <v>59</v>
      </c>
      <c r="G35" s="14">
        <v>0</v>
      </c>
      <c r="H35" s="14"/>
      <c r="I35" s="10">
        <f t="shared" si="3"/>
        <v>0</v>
      </c>
    </row>
    <row r="36" spans="1:9" x14ac:dyDescent="0.35">
      <c r="A36" s="4" t="s">
        <v>14</v>
      </c>
      <c r="B36" s="14"/>
      <c r="C36" s="14"/>
      <c r="D36" s="10">
        <f t="shared" si="4"/>
        <v>0</v>
      </c>
      <c r="E36" s="8"/>
      <c r="F36" s="4" t="s">
        <v>76</v>
      </c>
      <c r="G36" s="14"/>
      <c r="H36" s="14">
        <v>0</v>
      </c>
      <c r="I36" s="10">
        <f t="shared" si="3"/>
        <v>0</v>
      </c>
    </row>
    <row r="37" spans="1:9" x14ac:dyDescent="0.35">
      <c r="A37" s="4" t="s">
        <v>36</v>
      </c>
      <c r="B37" s="14"/>
      <c r="C37" s="14">
        <v>0</v>
      </c>
      <c r="D37" s="10">
        <f t="shared" si="4"/>
        <v>0</v>
      </c>
      <c r="E37" s="8"/>
      <c r="F37" s="37" t="str">
        <f>"Total " &amp; Table7258[[#Headers],[ENTERTAINMENT]]</f>
        <v>Total ENTERTAINMENT</v>
      </c>
      <c r="G37" s="38">
        <f>SUBTOTAL(109,Table7258[Budget])</f>
        <v>0</v>
      </c>
      <c r="H37" s="38">
        <f>SUBTOTAL(109,Table7258[Actual])</f>
        <v>0</v>
      </c>
      <c r="I37" s="39">
        <f>SUBTOTAL(109,Table7258[Difference])</f>
        <v>0</v>
      </c>
    </row>
    <row r="38" spans="1:9" x14ac:dyDescent="0.35">
      <c r="A38" s="4" t="s">
        <v>10</v>
      </c>
      <c r="B38" s="14"/>
      <c r="C38" s="14">
        <v>0</v>
      </c>
      <c r="D38" s="10">
        <f t="shared" si="4"/>
        <v>0</v>
      </c>
      <c r="E38" s="8"/>
      <c r="F38" s="8"/>
      <c r="G38" s="17"/>
      <c r="H38" s="17"/>
      <c r="I38" s="17"/>
    </row>
    <row r="39" spans="1:9" x14ac:dyDescent="0.35">
      <c r="A39" s="24" t="str">
        <f>"Total " &amp; Table20264[[#Headers],[TRANSPORTATION]]</f>
        <v>Total TRANSPORTATION</v>
      </c>
      <c r="B39" s="19">
        <f>SUBTOTAL(109,Table20264[Budget])</f>
        <v>0</v>
      </c>
      <c r="C39" s="19">
        <f>SUBTOTAL(109,Table20264[Actual])</f>
        <v>0</v>
      </c>
      <c r="D39" s="13">
        <f>SUBTOTAL(109,Table20264[Difference])</f>
        <v>0</v>
      </c>
      <c r="E39" s="8"/>
      <c r="F39" s="21" t="s">
        <v>32</v>
      </c>
      <c r="G39" s="22" t="s">
        <v>49</v>
      </c>
      <c r="H39" s="23" t="s">
        <v>0</v>
      </c>
      <c r="I39" s="23" t="s">
        <v>46</v>
      </c>
    </row>
    <row r="40" spans="1:9" x14ac:dyDescent="0.35">
      <c r="A40" s="8"/>
      <c r="B40" s="17"/>
      <c r="C40" s="17"/>
      <c r="D40" s="17"/>
      <c r="E40" s="8"/>
      <c r="F40" s="4" t="s">
        <v>29</v>
      </c>
      <c r="G40" s="14"/>
      <c r="H40" s="14">
        <v>0</v>
      </c>
      <c r="I40" s="10">
        <f>G40-H40</f>
        <v>0</v>
      </c>
    </row>
    <row r="41" spans="1:9" x14ac:dyDescent="0.35">
      <c r="A41" s="21" t="s">
        <v>15</v>
      </c>
      <c r="B41" s="22" t="s">
        <v>49</v>
      </c>
      <c r="C41" s="23" t="s">
        <v>0</v>
      </c>
      <c r="D41" s="23" t="s">
        <v>46</v>
      </c>
      <c r="E41" s="8"/>
      <c r="F41" s="4" t="s">
        <v>30</v>
      </c>
      <c r="G41" s="14"/>
      <c r="H41" s="14">
        <v>0</v>
      </c>
      <c r="I41" s="10">
        <f t="shared" ref="I41:I42" si="5">G41-H41</f>
        <v>0</v>
      </c>
    </row>
    <row r="42" spans="1:9" x14ac:dyDescent="0.35">
      <c r="A42" s="4" t="s">
        <v>53</v>
      </c>
      <c r="B42" s="14"/>
      <c r="C42" s="14">
        <v>0</v>
      </c>
      <c r="D42" s="10">
        <f t="shared" ref="D42:D48" si="6">B42-C42</f>
        <v>0</v>
      </c>
      <c r="E42" s="8"/>
      <c r="F42" s="4" t="s">
        <v>33</v>
      </c>
      <c r="G42" s="14"/>
      <c r="H42" s="14">
        <v>0</v>
      </c>
      <c r="I42" s="10">
        <f t="shared" si="5"/>
        <v>0</v>
      </c>
    </row>
    <row r="43" spans="1:9" x14ac:dyDescent="0.35">
      <c r="A43" s="4" t="s">
        <v>16</v>
      </c>
      <c r="B43" s="14"/>
      <c r="C43" s="14">
        <v>0</v>
      </c>
      <c r="D43" s="10">
        <f t="shared" si="6"/>
        <v>0</v>
      </c>
      <c r="E43" s="8"/>
      <c r="F43" s="4" t="s">
        <v>31</v>
      </c>
      <c r="G43" s="14"/>
      <c r="H43" s="14">
        <v>0</v>
      </c>
      <c r="I43" s="10">
        <f>G43-H43</f>
        <v>0</v>
      </c>
    </row>
    <row r="44" spans="1:9" x14ac:dyDescent="0.35">
      <c r="A44" s="4" t="s">
        <v>17</v>
      </c>
      <c r="B44" s="14"/>
      <c r="C44" s="14">
        <v>0</v>
      </c>
      <c r="D44" s="10">
        <f t="shared" si="6"/>
        <v>0</v>
      </c>
      <c r="E44" s="8"/>
      <c r="F44" s="4" t="s">
        <v>60</v>
      </c>
      <c r="G44" s="14"/>
      <c r="H44" s="14">
        <v>0</v>
      </c>
      <c r="I44" s="10">
        <f>G44-H44</f>
        <v>0</v>
      </c>
    </row>
    <row r="45" spans="1:9" x14ac:dyDescent="0.35">
      <c r="A45" s="4" t="s">
        <v>18</v>
      </c>
      <c r="B45" s="14">
        <v>0</v>
      </c>
      <c r="C45" s="14">
        <v>0</v>
      </c>
      <c r="D45" s="10">
        <f t="shared" si="6"/>
        <v>0</v>
      </c>
      <c r="E45" s="8"/>
      <c r="F45" s="4" t="s">
        <v>10</v>
      </c>
      <c r="G45" s="14"/>
      <c r="H45" s="14">
        <v>0</v>
      </c>
      <c r="I45" s="10">
        <f>G45-H45</f>
        <v>0</v>
      </c>
    </row>
    <row r="46" spans="1:9" x14ac:dyDescent="0.35">
      <c r="A46" s="4" t="s">
        <v>54</v>
      </c>
      <c r="B46" s="14"/>
      <c r="C46" s="14">
        <v>0</v>
      </c>
      <c r="D46" s="10">
        <f t="shared" si="6"/>
        <v>0</v>
      </c>
      <c r="E46" s="8"/>
      <c r="F46" s="24" t="str">
        <f>"Total " &amp; Table8259[[#Headers],[SAVINGS]]</f>
        <v>Total SAVINGS</v>
      </c>
      <c r="G46" s="19">
        <f>SUBTOTAL(109,Table8259[Budget])</f>
        <v>0</v>
      </c>
      <c r="H46" s="19">
        <f>SUBTOTAL(109,Table8259[Actual])</f>
        <v>0</v>
      </c>
      <c r="I46" s="13">
        <f>SUBTOTAL(109,Table8259[Difference])</f>
        <v>0</v>
      </c>
    </row>
    <row r="47" spans="1:9" x14ac:dyDescent="0.35">
      <c r="A47" s="4" t="s">
        <v>55</v>
      </c>
      <c r="B47" s="14"/>
      <c r="C47" s="14">
        <v>0</v>
      </c>
      <c r="D47" s="10">
        <f t="shared" si="6"/>
        <v>0</v>
      </c>
      <c r="E47" s="8"/>
      <c r="F47" s="8"/>
      <c r="G47" s="17"/>
      <c r="H47" s="17"/>
      <c r="I47" s="17"/>
    </row>
    <row r="48" spans="1:9" x14ac:dyDescent="0.35">
      <c r="A48" s="4" t="s">
        <v>10</v>
      </c>
      <c r="B48" s="14"/>
      <c r="C48" s="14">
        <v>0</v>
      </c>
      <c r="D48" s="10">
        <f t="shared" si="6"/>
        <v>0</v>
      </c>
      <c r="E48" s="8"/>
      <c r="F48" s="21" t="s">
        <v>34</v>
      </c>
      <c r="G48" s="22" t="s">
        <v>49</v>
      </c>
      <c r="H48" s="23" t="s">
        <v>0</v>
      </c>
      <c r="I48" s="23" t="s">
        <v>46</v>
      </c>
    </row>
    <row r="49" spans="1:9" x14ac:dyDescent="0.35">
      <c r="A49" s="24" t="str">
        <f>"Total " &amp; Table21265[[#Headers],[HEALTH]]</f>
        <v>Total HEALTH</v>
      </c>
      <c r="B49" s="19">
        <f>SUBTOTAL(109,Table21265[Budget])</f>
        <v>0</v>
      </c>
      <c r="C49" s="19">
        <f>SUBTOTAL(109,Table21265[Actual])</f>
        <v>0</v>
      </c>
      <c r="D49" s="13">
        <f>SUBTOTAL(109,Table21265[Difference])</f>
        <v>0</v>
      </c>
      <c r="E49" s="8"/>
      <c r="F49" s="4" t="s">
        <v>125</v>
      </c>
      <c r="G49" s="14">
        <v>0</v>
      </c>
      <c r="H49" s="14"/>
      <c r="I49" s="10">
        <f t="shared" ref="I49:I55" si="7">G49-H49</f>
        <v>0</v>
      </c>
    </row>
    <row r="50" spans="1:9" x14ac:dyDescent="0.35">
      <c r="A50" s="8"/>
      <c r="B50" s="17"/>
      <c r="C50" s="17"/>
      <c r="D50" s="17"/>
      <c r="E50" s="8"/>
      <c r="F50" s="4" t="s">
        <v>126</v>
      </c>
      <c r="G50" s="14">
        <v>0</v>
      </c>
      <c r="H50" s="14"/>
      <c r="I50" s="10">
        <f t="shared" si="7"/>
        <v>0</v>
      </c>
    </row>
    <row r="51" spans="1:9" x14ac:dyDescent="0.35">
      <c r="A51" s="21" t="s">
        <v>45</v>
      </c>
      <c r="B51" s="22" t="s">
        <v>49</v>
      </c>
      <c r="C51" s="23" t="s">
        <v>0</v>
      </c>
      <c r="D51" s="23" t="s">
        <v>46</v>
      </c>
      <c r="E51" s="8"/>
      <c r="F51" s="4" t="s">
        <v>127</v>
      </c>
      <c r="G51" s="14">
        <v>0</v>
      </c>
      <c r="H51" s="14"/>
      <c r="I51" s="10">
        <f t="shared" si="7"/>
        <v>0</v>
      </c>
    </row>
    <row r="52" spans="1:9" x14ac:dyDescent="0.35">
      <c r="A52" s="4" t="s">
        <v>6</v>
      </c>
      <c r="B52" s="14"/>
      <c r="C52" s="14">
        <v>0</v>
      </c>
      <c r="D52" s="10">
        <f t="shared" ref="D52:D55" si="8">B52-C52</f>
        <v>0</v>
      </c>
      <c r="E52" s="8"/>
      <c r="F52" s="4" t="s">
        <v>115</v>
      </c>
      <c r="G52" s="14">
        <v>0</v>
      </c>
      <c r="H52" s="14">
        <v>0</v>
      </c>
      <c r="I52" s="10">
        <f t="shared" si="7"/>
        <v>0</v>
      </c>
    </row>
    <row r="53" spans="1:9" x14ac:dyDescent="0.35">
      <c r="A53" s="4" t="s">
        <v>27</v>
      </c>
      <c r="B53" s="14"/>
      <c r="C53" s="14">
        <v>0</v>
      </c>
      <c r="D53" s="10">
        <f t="shared" si="8"/>
        <v>0</v>
      </c>
      <c r="E53" s="8"/>
      <c r="F53" s="4" t="s">
        <v>115</v>
      </c>
      <c r="G53" s="14">
        <v>0</v>
      </c>
      <c r="H53" s="14">
        <v>0</v>
      </c>
      <c r="I53" s="10">
        <f t="shared" si="7"/>
        <v>0</v>
      </c>
    </row>
    <row r="54" spans="1:9" x14ac:dyDescent="0.35">
      <c r="A54" s="4" t="s">
        <v>28</v>
      </c>
      <c r="B54" s="14"/>
      <c r="C54" s="14"/>
      <c r="D54" s="10">
        <f t="shared" si="8"/>
        <v>0</v>
      </c>
      <c r="E54" s="8"/>
      <c r="F54" s="4" t="s">
        <v>116</v>
      </c>
      <c r="G54" s="14">
        <v>0</v>
      </c>
      <c r="H54" s="14">
        <v>0</v>
      </c>
      <c r="I54" s="10">
        <f t="shared" si="7"/>
        <v>0</v>
      </c>
    </row>
    <row r="55" spans="1:9" x14ac:dyDescent="0.35">
      <c r="A55" s="4" t="s">
        <v>10</v>
      </c>
      <c r="B55" s="14"/>
      <c r="C55" s="14">
        <v>0</v>
      </c>
      <c r="D55" s="10">
        <f t="shared" si="8"/>
        <v>0</v>
      </c>
      <c r="E55" s="8"/>
      <c r="F55" s="4" t="s">
        <v>131</v>
      </c>
      <c r="G55" s="14"/>
      <c r="H55" s="14">
        <v>0</v>
      </c>
      <c r="I55" s="10">
        <f t="shared" si="7"/>
        <v>0</v>
      </c>
    </row>
    <row r="56" spans="1:9" x14ac:dyDescent="0.35">
      <c r="A56" s="24" t="str">
        <f>"Total " &amp; Table19263[[#Headers],[CHARITY/GIFTS]]</f>
        <v>Total CHARITY/GIFTS</v>
      </c>
      <c r="B56" s="19">
        <f>SUBTOTAL(109,Table19263[Budget])</f>
        <v>0</v>
      </c>
      <c r="C56" s="19">
        <f>SUBTOTAL(109,Table19263[Actual])</f>
        <v>0</v>
      </c>
      <c r="D56" s="13">
        <f>SUBTOTAL(109,Table19263[Difference])</f>
        <v>0</v>
      </c>
      <c r="E56" s="8"/>
      <c r="F56" s="37" t="str">
        <f>"Total " &amp; Table10260[[#Headers],[OBLIGATIONS]]</f>
        <v>Total OBLIGATIONS</v>
      </c>
      <c r="G56" s="38">
        <f>SUBTOTAL(109,Table10260[Budget])</f>
        <v>0</v>
      </c>
      <c r="H56" s="38">
        <f>SUBTOTAL(109,Table10260[Actual])</f>
        <v>0</v>
      </c>
      <c r="I56" s="39">
        <f>SUBTOTAL(109,Table10260[Difference])</f>
        <v>0</v>
      </c>
    </row>
    <row r="57" spans="1:9" x14ac:dyDescent="0.35">
      <c r="A57" s="8"/>
      <c r="B57" s="17"/>
      <c r="C57" s="17"/>
      <c r="D57" s="17"/>
      <c r="E57" s="8"/>
      <c r="F57" s="8"/>
      <c r="G57" s="17"/>
      <c r="H57" s="17"/>
      <c r="I57" s="17"/>
    </row>
    <row r="58" spans="1:9" x14ac:dyDescent="0.35">
      <c r="A58" s="21" t="s">
        <v>25</v>
      </c>
      <c r="B58" s="22" t="s">
        <v>49</v>
      </c>
      <c r="C58" s="23" t="s">
        <v>0</v>
      </c>
      <c r="D58" s="23" t="s">
        <v>46</v>
      </c>
      <c r="E58" s="8"/>
      <c r="F58" s="21" t="s">
        <v>8</v>
      </c>
      <c r="G58" s="22" t="s">
        <v>49</v>
      </c>
      <c r="H58" s="23" t="s">
        <v>0</v>
      </c>
      <c r="I58" s="23" t="s">
        <v>46</v>
      </c>
    </row>
    <row r="59" spans="1:9" x14ac:dyDescent="0.35">
      <c r="A59" s="4" t="s">
        <v>19</v>
      </c>
      <c r="B59" s="14"/>
      <c r="C59" s="14">
        <v>0</v>
      </c>
      <c r="D59" s="10">
        <f t="shared" ref="D59:D62" si="9">B59-C59</f>
        <v>0</v>
      </c>
      <c r="E59" s="8"/>
      <c r="F59" s="4" t="s">
        <v>68</v>
      </c>
      <c r="G59" s="9"/>
      <c r="H59" s="9">
        <v>0</v>
      </c>
      <c r="I59" s="10">
        <f t="shared" ref="I59:I62" si="10">G59-H59</f>
        <v>0</v>
      </c>
    </row>
    <row r="60" spans="1:9" x14ac:dyDescent="0.35">
      <c r="A60" s="4" t="s">
        <v>20</v>
      </c>
      <c r="B60" s="14"/>
      <c r="C60" s="14">
        <v>0</v>
      </c>
      <c r="D60" s="10">
        <f t="shared" si="9"/>
        <v>0</v>
      </c>
      <c r="E60" s="8"/>
      <c r="F60" s="4" t="s">
        <v>72</v>
      </c>
      <c r="G60" s="9"/>
      <c r="H60" s="9">
        <v>0</v>
      </c>
      <c r="I60" s="10">
        <f t="shared" si="10"/>
        <v>0</v>
      </c>
    </row>
    <row r="61" spans="1:9" x14ac:dyDescent="0.35">
      <c r="A61" s="4" t="s">
        <v>56</v>
      </c>
      <c r="B61" s="14"/>
      <c r="C61" s="14">
        <v>0</v>
      </c>
      <c r="D61" s="10">
        <f t="shared" si="9"/>
        <v>0</v>
      </c>
      <c r="E61" s="8"/>
      <c r="F61" s="4" t="s">
        <v>67</v>
      </c>
      <c r="G61" s="9"/>
      <c r="H61" s="9">
        <v>0</v>
      </c>
      <c r="I61" s="10">
        <f t="shared" si="10"/>
        <v>0</v>
      </c>
    </row>
    <row r="62" spans="1:9" x14ac:dyDescent="0.35">
      <c r="A62" s="4" t="s">
        <v>10</v>
      </c>
      <c r="B62" s="14"/>
      <c r="C62" s="14">
        <v>0</v>
      </c>
      <c r="D62" s="10">
        <f t="shared" si="9"/>
        <v>0</v>
      </c>
      <c r="E62" s="8"/>
      <c r="F62" s="4" t="s">
        <v>10</v>
      </c>
      <c r="G62" s="14"/>
      <c r="H62" s="14">
        <v>0</v>
      </c>
      <c r="I62" s="10">
        <f t="shared" si="10"/>
        <v>0</v>
      </c>
    </row>
    <row r="63" spans="1:9" x14ac:dyDescent="0.35">
      <c r="A63" s="24" t="str">
        <f>"Total " &amp; Table15262[[#Headers],[SUBSCRIPTIONS]]</f>
        <v>Total SUBSCRIPTIONS</v>
      </c>
      <c r="B63" s="19">
        <f>SUBTOTAL(109,Table15262[Budget])</f>
        <v>0</v>
      </c>
      <c r="C63" s="19">
        <f>SUBTOTAL(109,Table15262[Actual])</f>
        <v>0</v>
      </c>
      <c r="D63" s="13">
        <f>SUBTOTAL(109,Table15262[Difference])</f>
        <v>0</v>
      </c>
      <c r="E63" s="8"/>
      <c r="F63" s="24" t="str">
        <f>"Total " &amp; Table14261[[#Headers],[MISCELLANEOUS]]</f>
        <v>Total MISCELLANEOUS</v>
      </c>
      <c r="G63" s="19">
        <f>SUBTOTAL(109,Table14261[Budget])</f>
        <v>0</v>
      </c>
      <c r="H63" s="19">
        <f>SUBTOTAL(109,Table14261[Actual])</f>
        <v>0</v>
      </c>
      <c r="I63" s="13">
        <f>SUBTOTAL(109,Table14261[Difference])</f>
        <v>0</v>
      </c>
    </row>
    <row r="64" spans="1:9" x14ac:dyDescent="0.35">
      <c r="E64" s="8"/>
      <c r="F64" s="7"/>
    </row>
    <row r="65" spans="5:6" x14ac:dyDescent="0.35">
      <c r="E65" s="8"/>
      <c r="F65" s="7"/>
    </row>
    <row r="66" spans="5:6" x14ac:dyDescent="0.35">
      <c r="E66" s="8"/>
      <c r="F66" s="7"/>
    </row>
    <row r="67" spans="5:6" x14ac:dyDescent="0.35">
      <c r="E67" s="8"/>
      <c r="F67" s="7"/>
    </row>
    <row r="68" spans="5:6" x14ac:dyDescent="0.35">
      <c r="E68" s="8"/>
      <c r="F68" s="7"/>
    </row>
    <row r="69" spans="5:6" x14ac:dyDescent="0.35">
      <c r="E69" s="8"/>
      <c r="F69" s="7"/>
    </row>
    <row r="70" spans="5:6" x14ac:dyDescent="0.35">
      <c r="E70" s="8"/>
    </row>
    <row r="71" spans="5:6" x14ac:dyDescent="0.35">
      <c r="E71" s="8"/>
    </row>
    <row r="72" spans="5:6" x14ac:dyDescent="0.35">
      <c r="E72" s="8"/>
      <c r="F72" s="7"/>
    </row>
    <row r="73" spans="5:6" x14ac:dyDescent="0.35">
      <c r="E73" s="8"/>
      <c r="F73" s="7"/>
    </row>
    <row r="74" spans="5:6" x14ac:dyDescent="0.35">
      <c r="E74" s="15"/>
      <c r="F74" s="7"/>
    </row>
    <row r="75" spans="5:6" x14ac:dyDescent="0.35">
      <c r="E75" s="16"/>
      <c r="F75" s="7"/>
    </row>
    <row r="76" spans="5:6" x14ac:dyDescent="0.35">
      <c r="E76" s="16"/>
      <c r="F76" s="7"/>
    </row>
    <row r="77" spans="5:6" x14ac:dyDescent="0.35">
      <c r="E77" s="16"/>
      <c r="F77" s="7"/>
    </row>
    <row r="78" spans="5:6" x14ac:dyDescent="0.35">
      <c r="E78" s="16"/>
      <c r="F78" s="7"/>
    </row>
    <row r="79" spans="5:6" x14ac:dyDescent="0.35">
      <c r="E79" s="8"/>
      <c r="F79" s="7"/>
    </row>
    <row r="80" spans="5:6" x14ac:dyDescent="0.35">
      <c r="E80" s="15"/>
      <c r="F80" s="7"/>
    </row>
    <row r="81" spans="5:6" x14ac:dyDescent="0.35">
      <c r="E81" s="16"/>
      <c r="F81" s="7"/>
    </row>
    <row r="82" spans="5:6" x14ac:dyDescent="0.35">
      <c r="E82" s="16"/>
    </row>
    <row r="83" spans="5:6" x14ac:dyDescent="0.35">
      <c r="E83" s="16"/>
    </row>
    <row r="84" spans="5:6" x14ac:dyDescent="0.35">
      <c r="E84" s="20" t="s">
        <v>48</v>
      </c>
    </row>
    <row r="85" spans="5:6" x14ac:dyDescent="0.35">
      <c r="E85" s="16"/>
    </row>
    <row r="86" spans="5:6" x14ac:dyDescent="0.35">
      <c r="E86" s="16"/>
    </row>
    <row r="87" spans="5:6" x14ac:dyDescent="0.35">
      <c r="E87" s="16"/>
    </row>
    <row r="88" spans="5:6" x14ac:dyDescent="0.35">
      <c r="E88" s="16"/>
    </row>
    <row r="89" spans="5:6" x14ac:dyDescent="0.35">
      <c r="E89" s="16"/>
    </row>
    <row r="90" spans="5:6" x14ac:dyDescent="0.35">
      <c r="E90" s="8"/>
    </row>
    <row r="91" spans="5:6" x14ac:dyDescent="0.35">
      <c r="E91" s="15"/>
    </row>
    <row r="92" spans="5:6" x14ac:dyDescent="0.35">
      <c r="E92" s="7"/>
    </row>
    <row r="93" spans="5:6" x14ac:dyDescent="0.35">
      <c r="E93" s="7"/>
    </row>
    <row r="94" spans="5:6" x14ac:dyDescent="0.35">
      <c r="E94" s="7"/>
    </row>
    <row r="95" spans="5:6" x14ac:dyDescent="0.35">
      <c r="E95" s="7"/>
    </row>
    <row r="96" spans="5:6" x14ac:dyDescent="0.35">
      <c r="E96" s="7"/>
    </row>
    <row r="97" spans="5:5" x14ac:dyDescent="0.35">
      <c r="E97" s="7"/>
    </row>
    <row r="98" spans="5:5" x14ac:dyDescent="0.35">
      <c r="E98" s="7"/>
    </row>
    <row r="99" spans="5:5" x14ac:dyDescent="0.35">
      <c r="E99" s="7"/>
    </row>
    <row r="100" spans="5:5" x14ac:dyDescent="0.35">
      <c r="E100" s="7"/>
    </row>
    <row r="101" spans="5:5" x14ac:dyDescent="0.35">
      <c r="E101" s="7"/>
    </row>
    <row r="122" spans="6:6" x14ac:dyDescent="0.35">
      <c r="F122" s="7"/>
    </row>
    <row r="123" spans="6:6" x14ac:dyDescent="0.35">
      <c r="F123" s="7"/>
    </row>
    <row r="124" spans="6:6" x14ac:dyDescent="0.35">
      <c r="F124" s="7"/>
    </row>
    <row r="125" spans="6:6" x14ac:dyDescent="0.35">
      <c r="F125" s="7"/>
    </row>
    <row r="126" spans="6:6" x14ac:dyDescent="0.35">
      <c r="F126" s="7"/>
    </row>
    <row r="127" spans="6:6" x14ac:dyDescent="0.35">
      <c r="F127" s="7"/>
    </row>
    <row r="128" spans="6:6" x14ac:dyDescent="0.35">
      <c r="F128" s="7"/>
    </row>
    <row r="131" spans="5:6" x14ac:dyDescent="0.35">
      <c r="F131" s="7"/>
    </row>
    <row r="132" spans="5:6" x14ac:dyDescent="0.35">
      <c r="F132" s="7"/>
    </row>
    <row r="133" spans="5:6" x14ac:dyDescent="0.35">
      <c r="F133" s="7"/>
    </row>
    <row r="134" spans="5:6" x14ac:dyDescent="0.35">
      <c r="F134" s="7"/>
    </row>
    <row r="135" spans="5:6" x14ac:dyDescent="0.35">
      <c r="F135" s="7"/>
    </row>
    <row r="136" spans="5:6" x14ac:dyDescent="0.35">
      <c r="F136" s="7"/>
    </row>
    <row r="137" spans="5:6" x14ac:dyDescent="0.35">
      <c r="F137" s="7"/>
    </row>
    <row r="141" spans="5:6" x14ac:dyDescent="0.35">
      <c r="E141" s="6"/>
    </row>
    <row r="142" spans="5:6" x14ac:dyDescent="0.35">
      <c r="E142" s="7"/>
    </row>
    <row r="143" spans="5:6" x14ac:dyDescent="0.35">
      <c r="E143" s="7"/>
    </row>
    <row r="144" spans="5:6" x14ac:dyDescent="0.35">
      <c r="E144" s="7"/>
    </row>
    <row r="145" spans="5:5" x14ac:dyDescent="0.35">
      <c r="E145" s="7"/>
    </row>
    <row r="146" spans="5:5" x14ac:dyDescent="0.35">
      <c r="E146" s="7"/>
    </row>
    <row r="147" spans="5:5" x14ac:dyDescent="0.35">
      <c r="E147" s="7"/>
    </row>
    <row r="148" spans="5:5" x14ac:dyDescent="0.35">
      <c r="E148" s="7"/>
    </row>
    <row r="150" spans="5:5" x14ac:dyDescent="0.35">
      <c r="E150" s="6"/>
    </row>
    <row r="151" spans="5:5" x14ac:dyDescent="0.35">
      <c r="E151" s="7"/>
    </row>
    <row r="152" spans="5:5" x14ac:dyDescent="0.35">
      <c r="E152" s="7"/>
    </row>
    <row r="153" spans="5:5" x14ac:dyDescent="0.35">
      <c r="E153" s="7"/>
    </row>
    <row r="154" spans="5:5" x14ac:dyDescent="0.35">
      <c r="E154" s="7"/>
    </row>
    <row r="155" spans="5:5" x14ac:dyDescent="0.35">
      <c r="E155" s="7"/>
    </row>
    <row r="156" spans="5:5" x14ac:dyDescent="0.35">
      <c r="E156" s="7"/>
    </row>
    <row r="157" spans="5:5" x14ac:dyDescent="0.35">
      <c r="E157" s="7"/>
    </row>
  </sheetData>
  <sheetProtection formatCells="0" formatColumns="0" formatRows="0" insertColumns="0" insertRows="0" insertHyperlinks="0" deleteColumns="0" deleteRows="0" sort="0" autoFilter="0" pivotTables="0"/>
  <mergeCells count="1">
    <mergeCell ref="H2:I2"/>
  </mergeCells>
  <conditionalFormatting sqref="D32:D38 D52:D55 D59:D62 D16:D28 I49:I55 D5:D13 D42:D48 I11:I19 I23:I36 I40:I45 I59:I62">
    <cfRule type="cellIs" dxfId="1453" priority="2" stopIfTrue="1" operator="lessThan">
      <formula>0</formula>
    </cfRule>
  </conditionalFormatting>
  <conditionalFormatting sqref="I5">
    <cfRule type="expression" dxfId="1452" priority="1">
      <formula>IF(,,H5&gt;G5)</formula>
    </cfRule>
  </conditionalFormatting>
  <pageMargins left="0.7" right="0.7" top="0.75" bottom="0.75" header="0.3" footer="0.3"/>
  <tableParts count="11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7"/>
  <sheetViews>
    <sheetView showGridLines="0" workbookViewId="0">
      <selection activeCell="C38" sqref="C38"/>
    </sheetView>
  </sheetViews>
  <sheetFormatPr defaultColWidth="9" defaultRowHeight="14.4" x14ac:dyDescent="0.35"/>
  <cols>
    <col min="1" max="1" width="25.3984375" style="1" customWidth="1"/>
    <col min="2" max="3" width="9.59765625" style="1" customWidth="1"/>
    <col min="4" max="4" width="10" style="1" bestFit="1" customWidth="1"/>
    <col min="5" max="5" width="2.59765625" style="1" customWidth="1"/>
    <col min="6" max="6" width="21.5" style="1" customWidth="1"/>
    <col min="7" max="8" width="9.59765625" style="1" customWidth="1"/>
    <col min="9" max="9" width="11.09765625" style="1" customWidth="1"/>
    <col min="10" max="16384" width="9" style="1"/>
  </cols>
  <sheetData>
    <row r="1" spans="1:9" ht="26.1" customHeight="1" x14ac:dyDescent="0.35">
      <c r="A1" s="34" t="s">
        <v>85</v>
      </c>
      <c r="B1" s="34"/>
      <c r="C1" s="34"/>
      <c r="D1" s="34"/>
      <c r="E1" s="34"/>
      <c r="F1" s="34"/>
      <c r="G1" s="34"/>
      <c r="H1" s="34"/>
      <c r="I1" s="34"/>
    </row>
    <row r="2" spans="1:9" s="2" customFormat="1" ht="13.8" x14ac:dyDescent="0.3">
      <c r="A2" s="35"/>
      <c r="B2" s="33"/>
      <c r="C2" s="33"/>
      <c r="D2" s="33"/>
      <c r="E2" s="31"/>
      <c r="F2" s="31"/>
      <c r="G2" s="32"/>
      <c r="H2" s="47"/>
      <c r="I2" s="47"/>
    </row>
    <row r="3" spans="1:9" s="2" customFormat="1" ht="12" x14ac:dyDescent="0.3">
      <c r="E3" s="3"/>
    </row>
    <row r="4" spans="1:9" x14ac:dyDescent="0.35">
      <c r="A4" s="21" t="s">
        <v>1</v>
      </c>
      <c r="B4" s="22" t="s">
        <v>49</v>
      </c>
      <c r="C4" s="23" t="s">
        <v>0</v>
      </c>
      <c r="D4" s="23" t="s">
        <v>46</v>
      </c>
      <c r="E4" s="18" t="s">
        <v>48</v>
      </c>
      <c r="F4" s="26" t="s">
        <v>51</v>
      </c>
      <c r="G4" s="27" t="s">
        <v>49</v>
      </c>
      <c r="H4" s="27" t="s">
        <v>0</v>
      </c>
      <c r="I4" s="27" t="s">
        <v>46</v>
      </c>
    </row>
    <row r="5" spans="1:9" x14ac:dyDescent="0.35">
      <c r="A5" s="4" t="s">
        <v>7</v>
      </c>
      <c r="B5" s="9"/>
      <c r="C5" s="9"/>
      <c r="D5" s="10">
        <f t="shared" ref="D5:D11" si="0">C5-B5</f>
        <v>0</v>
      </c>
      <c r="E5" s="8"/>
      <c r="F5" s="28" t="s">
        <v>2</v>
      </c>
      <c r="G5" s="25">
        <f>Table257[[#Totals],[Budget]]</f>
        <v>0</v>
      </c>
      <c r="H5" s="25">
        <f>Table257[[#Totals],[Actual]]</f>
        <v>0</v>
      </c>
      <c r="I5" s="25">
        <f>G5-H5</f>
        <v>0</v>
      </c>
    </row>
    <row r="6" spans="1:9" ht="15" thickBot="1" x14ac:dyDescent="0.4">
      <c r="A6" s="4" t="s">
        <v>119</v>
      </c>
      <c r="B6" s="9">
        <v>0</v>
      </c>
      <c r="C6" s="9">
        <v>0</v>
      </c>
      <c r="D6" s="10">
        <f t="shared" si="0"/>
        <v>0</v>
      </c>
      <c r="E6" s="8"/>
      <c r="F6" s="28" t="s">
        <v>3</v>
      </c>
      <c r="G6" s="25">
        <f>SUM(,Table558[[#Totals],[Budget]],Table2066[[#Totals],[Budget]],Table2167[[#Totals],[Budget]],Table1965[[#Totals],[Budget]],Table1564[[#Totals],[Budget]],Table1463[[#Totals],[Budget]],Table1062[[#Totals],[Budget]],Table861[[#Totals],[Budget]],Table760[[#Totals],[Budget]],Table659[[#Totals],[Budget]])</f>
        <v>0</v>
      </c>
      <c r="H6" s="25">
        <f>SUM(Table558[[#Totals],[Actual]],Table2066[[#Totals],[Actual]],Table2167[[#Totals],[Actual]],Table1965[[#Totals],[Actual]],Table1564[[#Totals],[Actual]],Table1463[[#Totals],[Actual]],Table1062[[#Totals],[Actual]],Table861[[#Totals],[Actual]],Table760[[#Totals],[Actual]],Table659[[#Totals],[Actual]])</f>
        <v>0</v>
      </c>
      <c r="I6" s="25">
        <f>G6-H6</f>
        <v>0</v>
      </c>
    </row>
    <row r="7" spans="1:9" ht="15" thickTop="1" x14ac:dyDescent="0.35">
      <c r="A7" s="4" t="s">
        <v>94</v>
      </c>
      <c r="B7" s="9"/>
      <c r="C7" s="9">
        <v>0</v>
      </c>
      <c r="D7" s="10">
        <f t="shared" si="0"/>
        <v>0</v>
      </c>
      <c r="E7" s="8"/>
      <c r="F7" s="29" t="s">
        <v>4</v>
      </c>
      <c r="G7" s="30">
        <f>G5-G6</f>
        <v>0</v>
      </c>
      <c r="H7" s="30">
        <f>H5-H6</f>
        <v>0</v>
      </c>
      <c r="I7" s="30">
        <f>H7-G7</f>
        <v>0</v>
      </c>
    </row>
    <row r="8" spans="1:9" s="2" customFormat="1" x14ac:dyDescent="0.35">
      <c r="A8" s="4" t="s">
        <v>121</v>
      </c>
      <c r="B8" s="9"/>
      <c r="C8" s="9">
        <v>0</v>
      </c>
      <c r="D8" s="10">
        <f t="shared" si="0"/>
        <v>0</v>
      </c>
      <c r="E8" s="11"/>
      <c r="F8" s="11"/>
      <c r="G8" s="11"/>
      <c r="H8" s="11"/>
      <c r="I8" s="11"/>
    </row>
    <row r="9" spans="1:9" x14ac:dyDescent="0.35">
      <c r="A9" s="4" t="s">
        <v>50</v>
      </c>
      <c r="B9" s="9"/>
      <c r="C9" s="9"/>
      <c r="D9" s="10">
        <f t="shared" si="0"/>
        <v>0</v>
      </c>
      <c r="E9" s="8"/>
      <c r="F9" s="11"/>
      <c r="G9" s="11"/>
      <c r="H9" s="11"/>
      <c r="I9" s="11"/>
    </row>
    <row r="10" spans="1:9" x14ac:dyDescent="0.35">
      <c r="A10" s="4" t="s">
        <v>47</v>
      </c>
      <c r="B10" s="9"/>
      <c r="C10" s="9"/>
      <c r="D10" s="10">
        <f t="shared" si="0"/>
        <v>0</v>
      </c>
      <c r="E10" s="8"/>
      <c r="F10" s="21" t="s">
        <v>26</v>
      </c>
      <c r="G10" s="22" t="s">
        <v>49</v>
      </c>
      <c r="H10" s="23" t="s">
        <v>0</v>
      </c>
      <c r="I10" s="23" t="s">
        <v>46</v>
      </c>
    </row>
    <row r="11" spans="1:9" x14ac:dyDescent="0.35">
      <c r="A11" s="4" t="s">
        <v>10</v>
      </c>
      <c r="B11" s="9"/>
      <c r="C11" s="9"/>
      <c r="D11" s="10">
        <f t="shared" si="0"/>
        <v>0</v>
      </c>
      <c r="E11" s="8"/>
      <c r="F11" s="4" t="s">
        <v>5</v>
      </c>
      <c r="G11" s="14"/>
      <c r="H11" s="14"/>
      <c r="I11" s="10">
        <f t="shared" ref="I11:I19" si="1">G11-H11</f>
        <v>0</v>
      </c>
    </row>
    <row r="12" spans="1:9" x14ac:dyDescent="0.35">
      <c r="A12" s="4" t="s">
        <v>77</v>
      </c>
      <c r="B12" s="12"/>
      <c r="C12" s="12">
        <v>0</v>
      </c>
      <c r="D12" s="10">
        <f>C12-B12</f>
        <v>0</v>
      </c>
      <c r="E12" s="8"/>
      <c r="F12" s="4" t="s">
        <v>69</v>
      </c>
      <c r="G12" s="14"/>
      <c r="H12" s="14"/>
      <c r="I12" s="10">
        <f t="shared" si="1"/>
        <v>0</v>
      </c>
    </row>
    <row r="13" spans="1:9" x14ac:dyDescent="0.35">
      <c r="A13" s="37" t="str">
        <f>"Total " &amp; Table257[[#Headers],[INCOME]]</f>
        <v>Total INCOME</v>
      </c>
      <c r="B13" s="38">
        <f>SUBTOTAL(109,Table257[Budget])</f>
        <v>0</v>
      </c>
      <c r="C13" s="38">
        <f>SUBTOTAL(109,Table257[Actual])</f>
        <v>0</v>
      </c>
      <c r="D13" s="39">
        <f>SUBTOTAL(109,Table257[Difference])</f>
        <v>0</v>
      </c>
      <c r="E13" s="8"/>
      <c r="F13" s="4" t="s">
        <v>92</v>
      </c>
      <c r="G13" s="14">
        <v>0</v>
      </c>
      <c r="H13" s="14">
        <v>0</v>
      </c>
      <c r="I13" s="10">
        <f t="shared" si="1"/>
        <v>0</v>
      </c>
    </row>
    <row r="14" spans="1:9" x14ac:dyDescent="0.35">
      <c r="A14" s="8"/>
      <c r="B14" s="8"/>
      <c r="C14" s="8"/>
      <c r="D14" s="8"/>
      <c r="E14" s="8"/>
      <c r="F14" s="4" t="s">
        <v>57</v>
      </c>
      <c r="G14" s="14"/>
      <c r="H14" s="14">
        <v>0</v>
      </c>
      <c r="I14" s="10">
        <f t="shared" si="1"/>
        <v>0</v>
      </c>
    </row>
    <row r="15" spans="1:9" x14ac:dyDescent="0.35">
      <c r="A15" s="21" t="s">
        <v>9</v>
      </c>
      <c r="B15" s="22" t="s">
        <v>49</v>
      </c>
      <c r="C15" s="23" t="s">
        <v>0</v>
      </c>
      <c r="D15" s="23" t="s">
        <v>46</v>
      </c>
      <c r="E15" s="8"/>
      <c r="F15" s="4" t="s">
        <v>58</v>
      </c>
      <c r="G15" s="14"/>
      <c r="H15" s="14">
        <v>0</v>
      </c>
      <c r="I15" s="10">
        <f t="shared" si="1"/>
        <v>0</v>
      </c>
    </row>
    <row r="16" spans="1:9" x14ac:dyDescent="0.35">
      <c r="A16" s="4" t="s">
        <v>63</v>
      </c>
      <c r="B16" s="9">
        <v>0</v>
      </c>
      <c r="C16" s="9"/>
      <c r="D16" s="10">
        <f>B16-C16</f>
        <v>0</v>
      </c>
      <c r="E16" s="8"/>
      <c r="F16" s="4" t="s">
        <v>40</v>
      </c>
      <c r="G16" s="14"/>
      <c r="H16" s="14"/>
      <c r="I16" s="10">
        <f t="shared" si="1"/>
        <v>0</v>
      </c>
    </row>
    <row r="17" spans="1:9" x14ac:dyDescent="0.35">
      <c r="A17" s="4" t="s">
        <v>66</v>
      </c>
      <c r="B17" s="9">
        <v>0</v>
      </c>
      <c r="C17" s="9">
        <v>0</v>
      </c>
      <c r="D17" s="10">
        <f t="shared" ref="D17:D28" si="2">B17-C17</f>
        <v>0</v>
      </c>
      <c r="E17" s="8"/>
      <c r="F17" s="4" t="s">
        <v>71</v>
      </c>
      <c r="G17" s="14">
        <v>0</v>
      </c>
      <c r="H17" s="14">
        <v>0</v>
      </c>
      <c r="I17" s="10">
        <f t="shared" si="1"/>
        <v>0</v>
      </c>
    </row>
    <row r="18" spans="1:9" x14ac:dyDescent="0.35">
      <c r="A18" s="4" t="s">
        <v>62</v>
      </c>
      <c r="B18" s="9">
        <v>0</v>
      </c>
      <c r="C18" s="9">
        <v>0</v>
      </c>
      <c r="D18" s="10">
        <f t="shared" si="2"/>
        <v>0</v>
      </c>
      <c r="E18" s="8"/>
      <c r="F18" s="4" t="s">
        <v>74</v>
      </c>
      <c r="G18" s="14">
        <v>0</v>
      </c>
      <c r="H18" s="14">
        <v>0</v>
      </c>
      <c r="I18" s="10">
        <f t="shared" si="1"/>
        <v>0</v>
      </c>
    </row>
    <row r="19" spans="1:9" x14ac:dyDescent="0.35">
      <c r="A19" s="4" t="s">
        <v>61</v>
      </c>
      <c r="B19" s="9">
        <v>0</v>
      </c>
      <c r="C19" s="9">
        <v>0</v>
      </c>
      <c r="D19" s="10">
        <f t="shared" si="2"/>
        <v>0</v>
      </c>
      <c r="E19" s="8"/>
      <c r="F19" s="4" t="s">
        <v>70</v>
      </c>
      <c r="G19" s="14">
        <v>0</v>
      </c>
      <c r="H19" s="14">
        <v>0</v>
      </c>
      <c r="I19" s="10">
        <f t="shared" si="1"/>
        <v>0</v>
      </c>
    </row>
    <row r="20" spans="1:9" s="5" customFormat="1" x14ac:dyDescent="0.35">
      <c r="A20" s="4" t="s">
        <v>64</v>
      </c>
      <c r="B20" s="9">
        <v>0</v>
      </c>
      <c r="C20" s="9">
        <v>0</v>
      </c>
      <c r="D20" s="10">
        <f t="shared" si="2"/>
        <v>0</v>
      </c>
      <c r="E20" s="8"/>
      <c r="F20" s="37" t="str">
        <f>"Total " &amp; Table659[[#Headers],[DAILY LIVING]]</f>
        <v>Total DAILY LIVING</v>
      </c>
      <c r="G20" s="38">
        <f>SUBTOTAL(109,Table659[Budget])</f>
        <v>0</v>
      </c>
      <c r="H20" s="38">
        <f>SUBTOTAL(109,Table659[Actual])</f>
        <v>0</v>
      </c>
      <c r="I20" s="39">
        <f>SUBTOTAL(109,Table659[Difference])</f>
        <v>0</v>
      </c>
    </row>
    <row r="21" spans="1:9" x14ac:dyDescent="0.35">
      <c r="A21" s="4" t="s">
        <v>118</v>
      </c>
      <c r="B21" s="9">
        <v>0</v>
      </c>
      <c r="C21" s="9">
        <v>0</v>
      </c>
      <c r="D21" s="10">
        <f t="shared" si="2"/>
        <v>0</v>
      </c>
      <c r="E21" s="8"/>
      <c r="F21" s="8"/>
      <c r="G21" s="17"/>
      <c r="H21" s="17"/>
      <c r="I21" s="17"/>
    </row>
    <row r="22" spans="1:9" x14ac:dyDescent="0.35">
      <c r="A22" s="4" t="s">
        <v>39</v>
      </c>
      <c r="B22" s="9">
        <v>0</v>
      </c>
      <c r="C22" s="9">
        <v>0</v>
      </c>
      <c r="D22" s="10">
        <f t="shared" si="2"/>
        <v>0</v>
      </c>
      <c r="E22" s="8"/>
      <c r="F22" s="21" t="s">
        <v>78</v>
      </c>
      <c r="G22" s="22" t="s">
        <v>49</v>
      </c>
      <c r="H22" s="23" t="s">
        <v>0</v>
      </c>
      <c r="I22" s="23" t="s">
        <v>46</v>
      </c>
    </row>
    <row r="23" spans="1:9" x14ac:dyDescent="0.35">
      <c r="A23" s="4" t="s">
        <v>65</v>
      </c>
      <c r="B23" s="9">
        <v>0</v>
      </c>
      <c r="C23" s="9">
        <v>0</v>
      </c>
      <c r="D23" s="10">
        <f t="shared" si="2"/>
        <v>0</v>
      </c>
      <c r="E23" s="8"/>
      <c r="F23" s="4" t="s">
        <v>93</v>
      </c>
      <c r="G23" s="14"/>
      <c r="H23" s="14">
        <v>0</v>
      </c>
      <c r="I23" s="10">
        <f t="shared" ref="I23:I36" si="3">G23-H23</f>
        <v>0</v>
      </c>
    </row>
    <row r="24" spans="1:9" x14ac:dyDescent="0.35">
      <c r="A24" s="4" t="s">
        <v>38</v>
      </c>
      <c r="B24" s="9">
        <v>0</v>
      </c>
      <c r="C24" s="9">
        <v>0</v>
      </c>
      <c r="D24" s="10">
        <f t="shared" si="2"/>
        <v>0</v>
      </c>
      <c r="E24" s="8"/>
      <c r="F24" s="4" t="s">
        <v>129</v>
      </c>
      <c r="G24" s="14"/>
      <c r="H24" s="14"/>
      <c r="I24" s="10">
        <f t="shared" si="3"/>
        <v>0</v>
      </c>
    </row>
    <row r="25" spans="1:9" x14ac:dyDescent="0.35">
      <c r="A25" s="4" t="s">
        <v>37</v>
      </c>
      <c r="B25" s="9">
        <v>0</v>
      </c>
      <c r="C25" s="9">
        <v>0</v>
      </c>
      <c r="D25" s="10">
        <f>B25-C25</f>
        <v>0</v>
      </c>
      <c r="E25" s="8"/>
      <c r="F25" s="4"/>
      <c r="G25" s="14"/>
      <c r="H25" s="14">
        <v>0</v>
      </c>
      <c r="I25" s="10">
        <f t="shared" si="3"/>
        <v>0</v>
      </c>
    </row>
    <row r="26" spans="1:9" x14ac:dyDescent="0.35">
      <c r="A26" s="4" t="s">
        <v>73</v>
      </c>
      <c r="B26" s="9">
        <v>0</v>
      </c>
      <c r="C26" s="9">
        <v>0</v>
      </c>
      <c r="D26" s="10">
        <f t="shared" si="2"/>
        <v>0</v>
      </c>
      <c r="E26" s="8"/>
      <c r="F26" s="4" t="s">
        <v>21</v>
      </c>
      <c r="G26" s="14"/>
      <c r="H26" s="14">
        <v>0</v>
      </c>
      <c r="I26" s="10">
        <f t="shared" si="3"/>
        <v>0</v>
      </c>
    </row>
    <row r="27" spans="1:9" x14ac:dyDescent="0.35">
      <c r="A27" s="36" t="s">
        <v>75</v>
      </c>
      <c r="B27" s="9">
        <v>0</v>
      </c>
      <c r="C27" s="9">
        <v>0</v>
      </c>
      <c r="D27" s="10">
        <f t="shared" si="2"/>
        <v>0</v>
      </c>
      <c r="E27" s="8"/>
      <c r="F27" s="4" t="s">
        <v>41</v>
      </c>
      <c r="G27" s="14"/>
      <c r="H27" s="14">
        <v>0</v>
      </c>
      <c r="I27" s="10">
        <f t="shared" si="3"/>
        <v>0</v>
      </c>
    </row>
    <row r="28" spans="1:9" x14ac:dyDescent="0.35">
      <c r="A28" s="4" t="s">
        <v>10</v>
      </c>
      <c r="B28" s="14"/>
      <c r="C28" s="14"/>
      <c r="D28" s="10">
        <f t="shared" si="2"/>
        <v>0</v>
      </c>
      <c r="E28" s="8"/>
      <c r="F28" s="4" t="s">
        <v>42</v>
      </c>
      <c r="G28" s="14"/>
      <c r="H28" s="14">
        <v>0</v>
      </c>
      <c r="I28" s="10">
        <f t="shared" si="3"/>
        <v>0</v>
      </c>
    </row>
    <row r="29" spans="1:9" x14ac:dyDescent="0.35">
      <c r="A29" s="24" t="str">
        <f>"Total " &amp; Table558[[#Headers],[HOME EXPENSES]]</f>
        <v>Total HOME EXPENSES</v>
      </c>
      <c r="B29" s="19">
        <f>SUBTOTAL(109,Table558[Budget])</f>
        <v>0</v>
      </c>
      <c r="C29" s="19">
        <f>SUBTOTAL(109,Table558[Actual])</f>
        <v>0</v>
      </c>
      <c r="D29" s="13">
        <f>SUBTOTAL(109,Table558[Difference])</f>
        <v>0</v>
      </c>
      <c r="E29" s="8"/>
      <c r="F29" s="4"/>
      <c r="G29" s="14"/>
      <c r="H29" s="14">
        <v>0</v>
      </c>
      <c r="I29" s="10">
        <f t="shared" si="3"/>
        <v>0</v>
      </c>
    </row>
    <row r="30" spans="1:9" x14ac:dyDescent="0.35">
      <c r="A30" s="8"/>
      <c r="B30" s="17"/>
      <c r="C30" s="17"/>
      <c r="D30" s="17"/>
      <c r="E30" s="8"/>
      <c r="F30" s="4" t="s">
        <v>23</v>
      </c>
      <c r="G30" s="14"/>
      <c r="H30" s="14">
        <v>0</v>
      </c>
      <c r="I30" s="10">
        <f t="shared" si="3"/>
        <v>0</v>
      </c>
    </row>
    <row r="31" spans="1:9" x14ac:dyDescent="0.35">
      <c r="A31" s="21" t="s">
        <v>11</v>
      </c>
      <c r="B31" s="22" t="s">
        <v>49</v>
      </c>
      <c r="C31" s="23" t="s">
        <v>0</v>
      </c>
      <c r="D31" s="23" t="s">
        <v>46</v>
      </c>
      <c r="E31" s="8"/>
      <c r="F31" s="4" t="s">
        <v>43</v>
      </c>
      <c r="G31" s="14"/>
      <c r="H31" s="14">
        <v>0</v>
      </c>
      <c r="I31" s="10">
        <f t="shared" si="3"/>
        <v>0</v>
      </c>
    </row>
    <row r="32" spans="1:9" x14ac:dyDescent="0.35">
      <c r="A32" s="4" t="s">
        <v>12</v>
      </c>
      <c r="B32" s="14">
        <v>0</v>
      </c>
      <c r="C32" s="14">
        <v>0</v>
      </c>
      <c r="D32" s="10">
        <f>B32-C32</f>
        <v>0</v>
      </c>
      <c r="E32" s="8"/>
      <c r="F32" s="4" t="s">
        <v>24</v>
      </c>
      <c r="G32" s="14"/>
      <c r="H32" s="14">
        <v>0</v>
      </c>
      <c r="I32" s="10">
        <f t="shared" si="3"/>
        <v>0</v>
      </c>
    </row>
    <row r="33" spans="1:9" x14ac:dyDescent="0.35">
      <c r="A33" s="4" t="s">
        <v>52</v>
      </c>
      <c r="B33" s="14"/>
      <c r="C33" s="14"/>
      <c r="D33" s="10">
        <f t="shared" ref="D33:D38" si="4">B33-C33</f>
        <v>0</v>
      </c>
      <c r="E33" s="8"/>
      <c r="F33" s="4" t="s">
        <v>22</v>
      </c>
      <c r="G33" s="14"/>
      <c r="H33" s="14">
        <v>0</v>
      </c>
      <c r="I33" s="10">
        <f t="shared" si="3"/>
        <v>0</v>
      </c>
    </row>
    <row r="34" spans="1:9" x14ac:dyDescent="0.35">
      <c r="A34" s="4" t="s">
        <v>13</v>
      </c>
      <c r="B34" s="14"/>
      <c r="C34" s="14"/>
      <c r="D34" s="10">
        <f>B34-C34</f>
        <v>0</v>
      </c>
      <c r="E34" s="8"/>
      <c r="F34" s="4" t="s">
        <v>44</v>
      </c>
      <c r="G34" s="14"/>
      <c r="H34" s="14">
        <v>0</v>
      </c>
      <c r="I34" s="10">
        <f t="shared" si="3"/>
        <v>0</v>
      </c>
    </row>
    <row r="35" spans="1:9" x14ac:dyDescent="0.35">
      <c r="A35" s="4" t="s">
        <v>35</v>
      </c>
      <c r="B35" s="14"/>
      <c r="C35" s="14">
        <v>0</v>
      </c>
      <c r="D35" s="10">
        <f t="shared" si="4"/>
        <v>0</v>
      </c>
      <c r="E35" s="8"/>
      <c r="F35" s="4" t="s">
        <v>59</v>
      </c>
      <c r="G35" s="14"/>
      <c r="H35" s="14">
        <v>0</v>
      </c>
      <c r="I35" s="10">
        <f t="shared" si="3"/>
        <v>0</v>
      </c>
    </row>
    <row r="36" spans="1:9" x14ac:dyDescent="0.35">
      <c r="A36" s="4" t="s">
        <v>14</v>
      </c>
      <c r="B36" s="14"/>
      <c r="C36" s="14"/>
      <c r="D36" s="10">
        <f t="shared" si="4"/>
        <v>0</v>
      </c>
      <c r="E36" s="8"/>
      <c r="F36" s="4" t="s">
        <v>76</v>
      </c>
      <c r="G36" s="14"/>
      <c r="H36" s="14">
        <v>0</v>
      </c>
      <c r="I36" s="10">
        <f t="shared" si="3"/>
        <v>0</v>
      </c>
    </row>
    <row r="37" spans="1:9" x14ac:dyDescent="0.35">
      <c r="A37" s="4" t="s">
        <v>36</v>
      </c>
      <c r="B37" s="14"/>
      <c r="C37" s="14">
        <v>0</v>
      </c>
      <c r="D37" s="10">
        <f t="shared" si="4"/>
        <v>0</v>
      </c>
      <c r="E37" s="8"/>
      <c r="F37" s="37" t="str">
        <f>"Total " &amp; Table760[[#Headers],[Entertainment]]</f>
        <v>Total Entertainment</v>
      </c>
      <c r="G37" s="38">
        <f>SUBTOTAL(109,Table760[Budget])</f>
        <v>0</v>
      </c>
      <c r="H37" s="38">
        <f>SUBTOTAL(109,Table760[Actual])</f>
        <v>0</v>
      </c>
      <c r="I37" s="39">
        <f>SUBTOTAL(109,Table760[Difference])</f>
        <v>0</v>
      </c>
    </row>
    <row r="38" spans="1:9" x14ac:dyDescent="0.35">
      <c r="A38" s="4" t="s">
        <v>124</v>
      </c>
      <c r="B38" s="14"/>
      <c r="C38" s="14"/>
      <c r="D38" s="10">
        <f t="shared" si="4"/>
        <v>0</v>
      </c>
      <c r="E38" s="8"/>
      <c r="F38" s="8"/>
      <c r="G38" s="17"/>
      <c r="H38" s="17"/>
      <c r="I38" s="17"/>
    </row>
    <row r="39" spans="1:9" x14ac:dyDescent="0.35">
      <c r="A39" s="24" t="str">
        <f>"Total " &amp; Table2066[[#Headers],[TRANSPORTATION]]</f>
        <v>Total TRANSPORTATION</v>
      </c>
      <c r="B39" s="19">
        <f>SUBTOTAL(109,Table2066[Budget])</f>
        <v>0</v>
      </c>
      <c r="C39" s="19">
        <f>SUBTOTAL(109,Table2066[Actual])</f>
        <v>0</v>
      </c>
      <c r="D39" s="13">
        <f>SUBTOTAL(109,Table2066[Difference])</f>
        <v>0</v>
      </c>
      <c r="E39" s="8"/>
      <c r="F39" s="21" t="s">
        <v>32</v>
      </c>
      <c r="G39" s="22" t="s">
        <v>49</v>
      </c>
      <c r="H39" s="23" t="s">
        <v>0</v>
      </c>
      <c r="I39" s="23" t="s">
        <v>46</v>
      </c>
    </row>
    <row r="40" spans="1:9" x14ac:dyDescent="0.35">
      <c r="A40" s="8"/>
      <c r="B40" s="17"/>
      <c r="C40" s="17"/>
      <c r="D40" s="17"/>
      <c r="E40" s="8"/>
      <c r="F40" s="4" t="s">
        <v>29</v>
      </c>
      <c r="G40" s="14"/>
      <c r="H40" s="14">
        <v>0</v>
      </c>
      <c r="I40" s="10">
        <f>G40-H40</f>
        <v>0</v>
      </c>
    </row>
    <row r="41" spans="1:9" x14ac:dyDescent="0.35">
      <c r="A41" s="21" t="s">
        <v>15</v>
      </c>
      <c r="B41" s="22" t="s">
        <v>49</v>
      </c>
      <c r="C41" s="23" t="s">
        <v>0</v>
      </c>
      <c r="D41" s="23" t="s">
        <v>46</v>
      </c>
      <c r="E41" s="8"/>
      <c r="F41" s="4" t="s">
        <v>30</v>
      </c>
      <c r="G41" s="14"/>
      <c r="H41" s="14">
        <v>0</v>
      </c>
      <c r="I41" s="10">
        <f t="shared" ref="I41:I42" si="5">G41-H41</f>
        <v>0</v>
      </c>
    </row>
    <row r="42" spans="1:9" x14ac:dyDescent="0.35">
      <c r="A42" s="4" t="s">
        <v>53</v>
      </c>
      <c r="B42" s="14"/>
      <c r="C42" s="14">
        <v>0</v>
      </c>
      <c r="D42" s="10">
        <f t="shared" ref="D42:D48" si="6">B42-C42</f>
        <v>0</v>
      </c>
      <c r="E42" s="8"/>
      <c r="F42" s="4" t="s">
        <v>33</v>
      </c>
      <c r="G42" s="14"/>
      <c r="H42" s="14">
        <v>0</v>
      </c>
      <c r="I42" s="10">
        <f t="shared" si="5"/>
        <v>0</v>
      </c>
    </row>
    <row r="43" spans="1:9" x14ac:dyDescent="0.35">
      <c r="A43" s="4" t="s">
        <v>16</v>
      </c>
      <c r="B43" s="14"/>
      <c r="C43" s="14">
        <v>0</v>
      </c>
      <c r="D43" s="10">
        <f t="shared" si="6"/>
        <v>0</v>
      </c>
      <c r="E43" s="8"/>
      <c r="F43" s="4" t="s">
        <v>31</v>
      </c>
      <c r="G43" s="14"/>
      <c r="H43" s="14">
        <v>0</v>
      </c>
      <c r="I43" s="10">
        <f>G43-H43</f>
        <v>0</v>
      </c>
    </row>
    <row r="44" spans="1:9" x14ac:dyDescent="0.35">
      <c r="A44" s="4" t="s">
        <v>17</v>
      </c>
      <c r="B44" s="14"/>
      <c r="C44" s="14">
        <v>0</v>
      </c>
      <c r="D44" s="10">
        <f t="shared" si="6"/>
        <v>0</v>
      </c>
      <c r="E44" s="8"/>
      <c r="F44" s="4" t="s">
        <v>60</v>
      </c>
      <c r="G44" s="14"/>
      <c r="H44" s="14">
        <v>0</v>
      </c>
      <c r="I44" s="10">
        <f>G44-H44</f>
        <v>0</v>
      </c>
    </row>
    <row r="45" spans="1:9" x14ac:dyDescent="0.35">
      <c r="A45" s="4" t="s">
        <v>18</v>
      </c>
      <c r="B45" s="14">
        <v>0</v>
      </c>
      <c r="C45" s="14">
        <v>0</v>
      </c>
      <c r="D45" s="10">
        <f t="shared" si="6"/>
        <v>0</v>
      </c>
      <c r="E45" s="8"/>
      <c r="F45" s="4" t="s">
        <v>10</v>
      </c>
      <c r="G45" s="14"/>
      <c r="H45" s="14">
        <v>0</v>
      </c>
      <c r="I45" s="10">
        <f>G45-H45</f>
        <v>0</v>
      </c>
    </row>
    <row r="46" spans="1:9" x14ac:dyDescent="0.35">
      <c r="A46" s="4" t="s">
        <v>54</v>
      </c>
      <c r="B46" s="14"/>
      <c r="C46" s="14">
        <v>0</v>
      </c>
      <c r="D46" s="10">
        <f t="shared" si="6"/>
        <v>0</v>
      </c>
      <c r="E46" s="8"/>
      <c r="F46" s="24" t="str">
        <f>"Total " &amp; Table861[[#Headers],[SAVINGS]]</f>
        <v>Total SAVINGS</v>
      </c>
      <c r="G46" s="19">
        <f>SUBTOTAL(109,Table861[Budget])</f>
        <v>0</v>
      </c>
      <c r="H46" s="19">
        <f>SUBTOTAL(109,Table861[Actual])</f>
        <v>0</v>
      </c>
      <c r="I46" s="13">
        <f>SUBTOTAL(109,Table861[Difference])</f>
        <v>0</v>
      </c>
    </row>
    <row r="47" spans="1:9" x14ac:dyDescent="0.35">
      <c r="A47" s="4" t="s">
        <v>55</v>
      </c>
      <c r="B47" s="14"/>
      <c r="C47" s="14">
        <v>0</v>
      </c>
      <c r="D47" s="10">
        <f t="shared" si="6"/>
        <v>0</v>
      </c>
      <c r="E47" s="8"/>
      <c r="F47" s="8"/>
      <c r="G47" s="17"/>
      <c r="H47" s="17"/>
      <c r="I47" s="17"/>
    </row>
    <row r="48" spans="1:9" x14ac:dyDescent="0.35">
      <c r="A48" s="4" t="s">
        <v>10</v>
      </c>
      <c r="B48" s="14"/>
      <c r="C48" s="14">
        <v>0</v>
      </c>
      <c r="D48" s="10">
        <f t="shared" si="6"/>
        <v>0</v>
      </c>
      <c r="E48" s="8"/>
      <c r="F48" s="21" t="s">
        <v>34</v>
      </c>
      <c r="G48" s="22" t="s">
        <v>49</v>
      </c>
      <c r="H48" s="23" t="s">
        <v>0</v>
      </c>
      <c r="I48" s="23" t="s">
        <v>46</v>
      </c>
    </row>
    <row r="49" spans="1:9" x14ac:dyDescent="0.35">
      <c r="A49" s="24" t="str">
        <f>"Total " &amp; Table2167[[#Headers],[HEALTH]]</f>
        <v>Total HEALTH</v>
      </c>
      <c r="B49" s="19">
        <f>SUBTOTAL(109,Table2167[Budget])</f>
        <v>0</v>
      </c>
      <c r="C49" s="19">
        <f>SUBTOTAL(109,Table2167[Actual])</f>
        <v>0</v>
      </c>
      <c r="D49" s="13">
        <f>SUBTOTAL(109,Table2167[Difference])</f>
        <v>0</v>
      </c>
      <c r="E49" s="8"/>
      <c r="F49" s="4" t="s">
        <v>125</v>
      </c>
      <c r="G49" s="14">
        <v>0</v>
      </c>
      <c r="H49" s="14"/>
      <c r="I49" s="10">
        <f t="shared" ref="I49:I55" si="7">G49-H49</f>
        <v>0</v>
      </c>
    </row>
    <row r="50" spans="1:9" x14ac:dyDescent="0.35">
      <c r="A50" s="8"/>
      <c r="B50" s="17"/>
      <c r="C50" s="17"/>
      <c r="D50" s="17"/>
      <c r="E50" s="8"/>
      <c r="F50" s="4" t="s">
        <v>126</v>
      </c>
      <c r="G50" s="14">
        <v>0</v>
      </c>
      <c r="H50" s="14"/>
      <c r="I50" s="10">
        <f t="shared" si="7"/>
        <v>0</v>
      </c>
    </row>
    <row r="51" spans="1:9" x14ac:dyDescent="0.35">
      <c r="A51" s="21" t="s">
        <v>45</v>
      </c>
      <c r="B51" s="22" t="s">
        <v>49</v>
      </c>
      <c r="C51" s="23" t="s">
        <v>0</v>
      </c>
      <c r="D51" s="23" t="s">
        <v>46</v>
      </c>
      <c r="E51" s="8"/>
      <c r="F51" s="4" t="s">
        <v>127</v>
      </c>
      <c r="G51" s="14">
        <v>0</v>
      </c>
      <c r="H51" s="14"/>
      <c r="I51" s="10">
        <f t="shared" si="7"/>
        <v>0</v>
      </c>
    </row>
    <row r="52" spans="1:9" x14ac:dyDescent="0.35">
      <c r="A52" s="4" t="s">
        <v>6</v>
      </c>
      <c r="B52" s="14"/>
      <c r="C52" s="14">
        <v>0</v>
      </c>
      <c r="D52" s="10">
        <f t="shared" ref="D52:D55" si="8">B52-C52</f>
        <v>0</v>
      </c>
      <c r="E52" s="8"/>
      <c r="F52" s="4" t="s">
        <v>130</v>
      </c>
      <c r="G52" s="14"/>
      <c r="H52" s="14"/>
      <c r="I52" s="10">
        <f t="shared" si="7"/>
        <v>0</v>
      </c>
    </row>
    <row r="53" spans="1:9" x14ac:dyDescent="0.35">
      <c r="A53" s="4" t="s">
        <v>27</v>
      </c>
      <c r="B53" s="14"/>
      <c r="C53" s="14">
        <v>0</v>
      </c>
      <c r="D53" s="10">
        <f t="shared" si="8"/>
        <v>0</v>
      </c>
      <c r="E53" s="8"/>
      <c r="F53" s="4" t="s">
        <v>115</v>
      </c>
      <c r="G53" s="14">
        <v>0</v>
      </c>
      <c r="H53" s="14">
        <v>0</v>
      </c>
      <c r="I53" s="10">
        <f t="shared" si="7"/>
        <v>0</v>
      </c>
    </row>
    <row r="54" spans="1:9" x14ac:dyDescent="0.35">
      <c r="A54" s="4" t="s">
        <v>28</v>
      </c>
      <c r="B54" s="14"/>
      <c r="C54" s="14"/>
      <c r="D54" s="10">
        <f t="shared" si="8"/>
        <v>0</v>
      </c>
      <c r="E54" s="8"/>
      <c r="F54" s="4" t="s">
        <v>116</v>
      </c>
      <c r="G54" s="14"/>
      <c r="H54" s="14">
        <v>0</v>
      </c>
      <c r="I54" s="10">
        <f t="shared" si="7"/>
        <v>0</v>
      </c>
    </row>
    <row r="55" spans="1:9" x14ac:dyDescent="0.35">
      <c r="A55" s="4" t="s">
        <v>10</v>
      </c>
      <c r="B55" s="14"/>
      <c r="C55" s="14">
        <v>0</v>
      </c>
      <c r="D55" s="10">
        <f t="shared" si="8"/>
        <v>0</v>
      </c>
      <c r="E55" s="8"/>
      <c r="F55" s="4" t="s">
        <v>131</v>
      </c>
      <c r="G55" s="14"/>
      <c r="H55" s="14">
        <v>0</v>
      </c>
      <c r="I55" s="10">
        <f t="shared" si="7"/>
        <v>0</v>
      </c>
    </row>
    <row r="56" spans="1:9" x14ac:dyDescent="0.35">
      <c r="A56" s="24" t="str">
        <f>"Total " &amp; Table1965[[#Headers],[CHARITY/GIFTS]]</f>
        <v>Total CHARITY/GIFTS</v>
      </c>
      <c r="B56" s="19">
        <f>SUBTOTAL(109,Table1965[Budget])</f>
        <v>0</v>
      </c>
      <c r="C56" s="19">
        <f>SUBTOTAL(109,Table1965[Actual])</f>
        <v>0</v>
      </c>
      <c r="D56" s="13">
        <f>SUBTOTAL(109,Table1965[Difference])</f>
        <v>0</v>
      </c>
      <c r="E56" s="8"/>
      <c r="F56" s="37" t="str">
        <f>"Total " &amp; Table1062[[#Headers],[OBLIGATIONS]]</f>
        <v>Total OBLIGATIONS</v>
      </c>
      <c r="G56" s="38">
        <f>SUBTOTAL(109,Table1062[Budget])</f>
        <v>0</v>
      </c>
      <c r="H56" s="38">
        <f>SUBTOTAL(109,Table1062[Actual])</f>
        <v>0</v>
      </c>
      <c r="I56" s="39">
        <f>SUBTOTAL(109,Table1062[Difference])</f>
        <v>0</v>
      </c>
    </row>
    <row r="57" spans="1:9" x14ac:dyDescent="0.35">
      <c r="A57" s="8"/>
      <c r="B57" s="17"/>
      <c r="C57" s="17"/>
      <c r="D57" s="17"/>
      <c r="E57" s="8"/>
      <c r="F57" s="8"/>
      <c r="G57" s="17"/>
      <c r="H57" s="17"/>
      <c r="I57" s="17"/>
    </row>
    <row r="58" spans="1:9" x14ac:dyDescent="0.35">
      <c r="A58" s="21" t="s">
        <v>25</v>
      </c>
      <c r="B58" s="22" t="s">
        <v>49</v>
      </c>
      <c r="C58" s="23" t="s">
        <v>0</v>
      </c>
      <c r="D58" s="23" t="s">
        <v>46</v>
      </c>
      <c r="E58" s="8"/>
      <c r="F58" s="21" t="s">
        <v>8</v>
      </c>
      <c r="G58" s="22" t="s">
        <v>49</v>
      </c>
      <c r="H58" s="23" t="s">
        <v>0</v>
      </c>
      <c r="I58" s="23" t="s">
        <v>46</v>
      </c>
    </row>
    <row r="59" spans="1:9" x14ac:dyDescent="0.35">
      <c r="A59" s="4" t="s">
        <v>19</v>
      </c>
      <c r="B59" s="14"/>
      <c r="C59" s="14">
        <v>0</v>
      </c>
      <c r="D59" s="10">
        <f t="shared" ref="D59:D62" si="9">B59-C59</f>
        <v>0</v>
      </c>
      <c r="E59" s="8"/>
      <c r="F59" s="4" t="s">
        <v>68</v>
      </c>
      <c r="G59" s="9"/>
      <c r="H59" s="9">
        <v>0</v>
      </c>
      <c r="I59" s="10">
        <f t="shared" ref="I59:I62" si="10">G59-H59</f>
        <v>0</v>
      </c>
    </row>
    <row r="60" spans="1:9" x14ac:dyDescent="0.35">
      <c r="A60" s="4" t="s">
        <v>20</v>
      </c>
      <c r="B60" s="14"/>
      <c r="C60" s="14">
        <v>0</v>
      </c>
      <c r="D60" s="10">
        <f t="shared" si="9"/>
        <v>0</v>
      </c>
      <c r="E60" s="8"/>
      <c r="F60" s="4" t="s">
        <v>72</v>
      </c>
      <c r="G60" s="9"/>
      <c r="H60" s="9">
        <v>0</v>
      </c>
      <c r="I60" s="10">
        <f t="shared" si="10"/>
        <v>0</v>
      </c>
    </row>
    <row r="61" spans="1:9" x14ac:dyDescent="0.35">
      <c r="A61" s="4" t="s">
        <v>56</v>
      </c>
      <c r="B61" s="14"/>
      <c r="C61" s="14">
        <v>0</v>
      </c>
      <c r="D61" s="10">
        <f t="shared" si="9"/>
        <v>0</v>
      </c>
      <c r="E61" s="8"/>
      <c r="F61" s="4" t="s">
        <v>67</v>
      </c>
      <c r="G61" s="9"/>
      <c r="H61" s="9">
        <v>0</v>
      </c>
      <c r="I61" s="10">
        <f t="shared" si="10"/>
        <v>0</v>
      </c>
    </row>
    <row r="62" spans="1:9" x14ac:dyDescent="0.35">
      <c r="A62" s="4" t="s">
        <v>10</v>
      </c>
      <c r="B62" s="14"/>
      <c r="C62" s="14">
        <v>0</v>
      </c>
      <c r="D62" s="10">
        <f t="shared" si="9"/>
        <v>0</v>
      </c>
      <c r="E62" s="8"/>
      <c r="F62" s="4" t="s">
        <v>10</v>
      </c>
      <c r="G62" s="14"/>
      <c r="H62" s="14">
        <v>0</v>
      </c>
      <c r="I62" s="10">
        <f t="shared" si="10"/>
        <v>0</v>
      </c>
    </row>
    <row r="63" spans="1:9" x14ac:dyDescent="0.35">
      <c r="A63" s="24" t="str">
        <f>"Total " &amp; Table1564[[#Headers],[SUBSCRIPTIONS]]</f>
        <v>Total SUBSCRIPTIONS</v>
      </c>
      <c r="B63" s="19">
        <f>SUBTOTAL(109,Table1564[Budget])</f>
        <v>0</v>
      </c>
      <c r="C63" s="19">
        <f>SUBTOTAL(109,Table1564[Actual])</f>
        <v>0</v>
      </c>
      <c r="D63" s="13">
        <f>SUBTOTAL(109,Table1564[Difference])</f>
        <v>0</v>
      </c>
      <c r="E63" s="8"/>
      <c r="F63" s="24" t="str">
        <f>"Total " &amp; Table1463[[#Headers],[MISCELLANEOUS]]</f>
        <v>Total MISCELLANEOUS</v>
      </c>
      <c r="G63" s="19">
        <f>SUBTOTAL(109,Table1463[Budget])</f>
        <v>0</v>
      </c>
      <c r="H63" s="19">
        <f>SUBTOTAL(109,Table1463[Actual])</f>
        <v>0</v>
      </c>
      <c r="I63" s="13">
        <f>SUBTOTAL(109,Table1463[Difference])</f>
        <v>0</v>
      </c>
    </row>
    <row r="64" spans="1:9" x14ac:dyDescent="0.35">
      <c r="E64" s="8"/>
      <c r="F64" s="7"/>
    </row>
    <row r="65" spans="5:6" x14ac:dyDescent="0.35">
      <c r="E65" s="8"/>
      <c r="F65" s="7"/>
    </row>
    <row r="66" spans="5:6" x14ac:dyDescent="0.35">
      <c r="E66" s="8"/>
      <c r="F66" s="7"/>
    </row>
    <row r="67" spans="5:6" x14ac:dyDescent="0.35">
      <c r="E67" s="8"/>
      <c r="F67" s="7"/>
    </row>
    <row r="68" spans="5:6" x14ac:dyDescent="0.35">
      <c r="E68" s="8"/>
      <c r="F68" s="7"/>
    </row>
    <row r="69" spans="5:6" x14ac:dyDescent="0.35">
      <c r="E69" s="8"/>
      <c r="F69" s="7"/>
    </row>
    <row r="70" spans="5:6" x14ac:dyDescent="0.35">
      <c r="E70" s="8"/>
    </row>
    <row r="71" spans="5:6" x14ac:dyDescent="0.35">
      <c r="E71" s="8"/>
    </row>
    <row r="72" spans="5:6" x14ac:dyDescent="0.35">
      <c r="E72" s="8"/>
      <c r="F72" s="7"/>
    </row>
    <row r="73" spans="5:6" x14ac:dyDescent="0.35">
      <c r="E73" s="8"/>
      <c r="F73" s="7"/>
    </row>
    <row r="74" spans="5:6" x14ac:dyDescent="0.35">
      <c r="E74" s="15"/>
      <c r="F74" s="7"/>
    </row>
    <row r="75" spans="5:6" x14ac:dyDescent="0.35">
      <c r="E75" s="16"/>
      <c r="F75" s="7"/>
    </row>
    <row r="76" spans="5:6" x14ac:dyDescent="0.35">
      <c r="E76" s="16"/>
      <c r="F76" s="7"/>
    </row>
    <row r="77" spans="5:6" x14ac:dyDescent="0.35">
      <c r="E77" s="16"/>
      <c r="F77" s="7"/>
    </row>
    <row r="78" spans="5:6" x14ac:dyDescent="0.35">
      <c r="E78" s="16"/>
      <c r="F78" s="7"/>
    </row>
    <row r="79" spans="5:6" x14ac:dyDescent="0.35">
      <c r="E79" s="8"/>
      <c r="F79" s="7"/>
    </row>
    <row r="80" spans="5:6" x14ac:dyDescent="0.35">
      <c r="E80" s="15"/>
      <c r="F80" s="7"/>
    </row>
    <row r="81" spans="5:6" x14ac:dyDescent="0.35">
      <c r="E81" s="16"/>
      <c r="F81" s="7"/>
    </row>
    <row r="82" spans="5:6" x14ac:dyDescent="0.35">
      <c r="E82" s="16"/>
    </row>
    <row r="83" spans="5:6" x14ac:dyDescent="0.35">
      <c r="E83" s="16"/>
    </row>
    <row r="84" spans="5:6" x14ac:dyDescent="0.35">
      <c r="E84" s="20" t="s">
        <v>48</v>
      </c>
    </row>
    <row r="85" spans="5:6" x14ac:dyDescent="0.35">
      <c r="E85" s="16"/>
    </row>
    <row r="86" spans="5:6" x14ac:dyDescent="0.35">
      <c r="E86" s="16"/>
    </row>
    <row r="87" spans="5:6" x14ac:dyDescent="0.35">
      <c r="E87" s="16"/>
    </row>
    <row r="88" spans="5:6" x14ac:dyDescent="0.35">
      <c r="E88" s="16"/>
    </row>
    <row r="89" spans="5:6" x14ac:dyDescent="0.35">
      <c r="E89" s="16"/>
    </row>
    <row r="90" spans="5:6" x14ac:dyDescent="0.35">
      <c r="E90" s="8"/>
    </row>
    <row r="91" spans="5:6" x14ac:dyDescent="0.35">
      <c r="E91" s="15"/>
    </row>
    <row r="92" spans="5:6" x14ac:dyDescent="0.35">
      <c r="E92" s="7"/>
    </row>
    <row r="93" spans="5:6" x14ac:dyDescent="0.35">
      <c r="E93" s="7"/>
    </row>
    <row r="94" spans="5:6" x14ac:dyDescent="0.35">
      <c r="E94" s="7"/>
    </row>
    <row r="95" spans="5:6" x14ac:dyDescent="0.35">
      <c r="E95" s="7"/>
    </row>
    <row r="96" spans="5:6" x14ac:dyDescent="0.35">
      <c r="E96" s="7"/>
    </row>
    <row r="97" spans="5:5" x14ac:dyDescent="0.35">
      <c r="E97" s="7"/>
    </row>
    <row r="98" spans="5:5" x14ac:dyDescent="0.35">
      <c r="E98" s="7"/>
    </row>
    <row r="99" spans="5:5" x14ac:dyDescent="0.35">
      <c r="E99" s="7"/>
    </row>
    <row r="100" spans="5:5" x14ac:dyDescent="0.35">
      <c r="E100" s="7"/>
    </row>
    <row r="101" spans="5:5" x14ac:dyDescent="0.35">
      <c r="E101" s="7"/>
    </row>
    <row r="122" spans="6:6" x14ac:dyDescent="0.35">
      <c r="F122" s="7"/>
    </row>
    <row r="123" spans="6:6" x14ac:dyDescent="0.35">
      <c r="F123" s="7"/>
    </row>
    <row r="124" spans="6:6" x14ac:dyDescent="0.35">
      <c r="F124" s="7"/>
    </row>
    <row r="125" spans="6:6" x14ac:dyDescent="0.35">
      <c r="F125" s="7"/>
    </row>
    <row r="126" spans="6:6" x14ac:dyDescent="0.35">
      <c r="F126" s="7"/>
    </row>
    <row r="127" spans="6:6" x14ac:dyDescent="0.35">
      <c r="F127" s="7"/>
    </row>
    <row r="128" spans="6:6" x14ac:dyDescent="0.35">
      <c r="F128" s="7"/>
    </row>
    <row r="131" spans="5:6" x14ac:dyDescent="0.35">
      <c r="F131" s="7"/>
    </row>
    <row r="132" spans="5:6" x14ac:dyDescent="0.35">
      <c r="F132" s="7"/>
    </row>
    <row r="133" spans="5:6" x14ac:dyDescent="0.35">
      <c r="F133" s="7"/>
    </row>
    <row r="134" spans="5:6" x14ac:dyDescent="0.35">
      <c r="F134" s="7"/>
    </row>
    <row r="135" spans="5:6" x14ac:dyDescent="0.35">
      <c r="F135" s="7"/>
    </row>
    <row r="136" spans="5:6" x14ac:dyDescent="0.35">
      <c r="F136" s="7"/>
    </row>
    <row r="137" spans="5:6" x14ac:dyDescent="0.35">
      <c r="F137" s="7"/>
    </row>
    <row r="141" spans="5:6" x14ac:dyDescent="0.35">
      <c r="E141" s="6"/>
    </row>
    <row r="142" spans="5:6" x14ac:dyDescent="0.35">
      <c r="E142" s="7"/>
    </row>
    <row r="143" spans="5:6" x14ac:dyDescent="0.35">
      <c r="E143" s="7"/>
    </row>
    <row r="144" spans="5:6" x14ac:dyDescent="0.35">
      <c r="E144" s="7"/>
    </row>
    <row r="145" spans="5:5" x14ac:dyDescent="0.35">
      <c r="E145" s="7"/>
    </row>
    <row r="146" spans="5:5" x14ac:dyDescent="0.35">
      <c r="E146" s="7"/>
    </row>
    <row r="147" spans="5:5" x14ac:dyDescent="0.35">
      <c r="E147" s="7"/>
    </row>
    <row r="148" spans="5:5" x14ac:dyDescent="0.35">
      <c r="E148" s="7"/>
    </row>
    <row r="150" spans="5:5" x14ac:dyDescent="0.35">
      <c r="E150" s="6"/>
    </row>
    <row r="151" spans="5:5" x14ac:dyDescent="0.35">
      <c r="E151" s="7"/>
    </row>
    <row r="152" spans="5:5" x14ac:dyDescent="0.35">
      <c r="E152" s="7"/>
    </row>
    <row r="153" spans="5:5" x14ac:dyDescent="0.35">
      <c r="E153" s="7"/>
    </row>
    <row r="154" spans="5:5" x14ac:dyDescent="0.35">
      <c r="E154" s="7"/>
    </row>
    <row r="155" spans="5:5" x14ac:dyDescent="0.35">
      <c r="E155" s="7"/>
    </row>
    <row r="156" spans="5:5" x14ac:dyDescent="0.35">
      <c r="E156" s="7"/>
    </row>
    <row r="157" spans="5:5" x14ac:dyDescent="0.35">
      <c r="E157" s="7"/>
    </row>
  </sheetData>
  <sheetProtection formatCells="0" formatColumns="0" formatRows="0" insertColumns="0" insertRows="0" insertHyperlinks="0" deleteColumns="0" deleteRows="0" sort="0" autoFilter="0" pivotTables="0"/>
  <mergeCells count="1">
    <mergeCell ref="H2:I2"/>
  </mergeCells>
  <conditionalFormatting sqref="D32:D38 D52:D55 D59:D62 D16:D28 I49:I55 D5:D13 D42:D48 I11:I19 I23:I36 I40:I45 I59:I62">
    <cfRule type="cellIs" dxfId="1324" priority="2" stopIfTrue="1" operator="lessThan">
      <formula>0</formula>
    </cfRule>
  </conditionalFormatting>
  <conditionalFormatting sqref="I5">
    <cfRule type="expression" dxfId="1323" priority="1">
      <formula>IF(,,H5&gt;G5)</formula>
    </cfRule>
  </conditionalFormatting>
  <pageMargins left="0.7" right="0.7" top="0.75" bottom="0.75" header="0.3" footer="0.3"/>
  <tableParts count="11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7"/>
  <sheetViews>
    <sheetView showGridLines="0" workbookViewId="0">
      <selection activeCell="H12" sqref="H12"/>
    </sheetView>
  </sheetViews>
  <sheetFormatPr defaultColWidth="9" defaultRowHeight="14.4" x14ac:dyDescent="0.35"/>
  <cols>
    <col min="1" max="1" width="25.3984375" style="1" customWidth="1"/>
    <col min="2" max="3" width="9.59765625" style="1" customWidth="1"/>
    <col min="4" max="4" width="10" style="1" bestFit="1" customWidth="1"/>
    <col min="5" max="5" width="2.59765625" style="1" customWidth="1"/>
    <col min="6" max="6" width="21.5" style="1" customWidth="1"/>
    <col min="7" max="8" width="9.59765625" style="1" customWidth="1"/>
    <col min="9" max="9" width="11.09765625" style="1" customWidth="1"/>
    <col min="10" max="16384" width="9" style="1"/>
  </cols>
  <sheetData>
    <row r="1" spans="1:9" ht="26.1" customHeight="1" x14ac:dyDescent="0.35">
      <c r="A1" s="34" t="s">
        <v>84</v>
      </c>
      <c r="B1" s="34"/>
      <c r="C1" s="34"/>
      <c r="D1" s="34"/>
      <c r="E1" s="34"/>
      <c r="F1" s="34"/>
      <c r="G1" s="34"/>
      <c r="H1" s="34"/>
      <c r="I1" s="34"/>
    </row>
    <row r="2" spans="1:9" s="2" customFormat="1" ht="13.8" x14ac:dyDescent="0.3">
      <c r="A2" s="35"/>
      <c r="B2" s="33"/>
      <c r="C2" s="33"/>
      <c r="D2" s="33"/>
      <c r="E2" s="31"/>
      <c r="F2" s="31"/>
      <c r="G2" s="32"/>
      <c r="H2" s="47"/>
      <c r="I2" s="47"/>
    </row>
    <row r="3" spans="1:9" s="2" customFormat="1" ht="12" x14ac:dyDescent="0.3">
      <c r="E3" s="3"/>
    </row>
    <row r="4" spans="1:9" x14ac:dyDescent="0.35">
      <c r="A4" s="21" t="s">
        <v>1</v>
      </c>
      <c r="B4" s="22" t="s">
        <v>49</v>
      </c>
      <c r="C4" s="23" t="s">
        <v>0</v>
      </c>
      <c r="D4" s="23" t="s">
        <v>46</v>
      </c>
      <c r="E4" s="18" t="s">
        <v>48</v>
      </c>
      <c r="F4" s="26" t="s">
        <v>51</v>
      </c>
      <c r="G4" s="27" t="s">
        <v>49</v>
      </c>
      <c r="H4" s="27" t="s">
        <v>0</v>
      </c>
      <c r="I4" s="27" t="s">
        <v>46</v>
      </c>
    </row>
    <row r="5" spans="1:9" x14ac:dyDescent="0.35">
      <c r="A5" s="4" t="s">
        <v>7</v>
      </c>
      <c r="B5" s="9"/>
      <c r="C5" s="9"/>
      <c r="D5" s="10">
        <f t="shared" ref="D5:D11" si="0">C5-B5</f>
        <v>0</v>
      </c>
      <c r="E5" s="8"/>
      <c r="F5" s="28" t="s">
        <v>2</v>
      </c>
      <c r="G5" s="25">
        <f>Table2179[[#Totals],[Budget]]</f>
        <v>0</v>
      </c>
      <c r="H5" s="25">
        <f>Table2179[[#Totals],[Actual]]</f>
        <v>0</v>
      </c>
      <c r="I5" s="25">
        <f>G5-H5</f>
        <v>0</v>
      </c>
    </row>
    <row r="6" spans="1:9" ht="15" thickBot="1" x14ac:dyDescent="0.4">
      <c r="A6" s="4" t="s">
        <v>119</v>
      </c>
      <c r="B6" s="9">
        <v>0</v>
      </c>
      <c r="C6" s="9">
        <v>0</v>
      </c>
      <c r="D6" s="10">
        <f t="shared" si="0"/>
        <v>0</v>
      </c>
      <c r="E6" s="8"/>
      <c r="F6" s="28" t="s">
        <v>3</v>
      </c>
      <c r="G6" s="25">
        <f>SUM(,Table5179[[#Totals],[Budget]],Table20187[[#Totals],[Budget]],Table21188[[#Totals],[Budget]],Table19186[[#Totals],[Budget]],Table15185[[#Totals],[Budget]],Table14184[[#Totals],[Budget]],Table10183[[#Totals],[Budget]],Table8182[[#Totals],[Budget]],Table7181[[#Totals],[Budget]],Table6180[[#Totals],[Budget]])</f>
        <v>0</v>
      </c>
      <c r="H6" s="25">
        <f>SUM(Table5179[[#Totals],[Actual]],Table20187[[#Totals],[Actual]],Table21188[[#Totals],[Actual]],Table19186[[#Totals],[Actual]],Table15185[[#Totals],[Actual]],Table14184[[#Totals],[Actual]],Table10183[[#Totals],[Actual]],Table8182[[#Totals],[Actual]],Table7181[[#Totals],[Actual]],Table6180[[#Totals],[Actual]])</f>
        <v>0</v>
      </c>
      <c r="I6" s="25">
        <f>G6-H6</f>
        <v>0</v>
      </c>
    </row>
    <row r="7" spans="1:9" ht="15" thickTop="1" x14ac:dyDescent="0.35">
      <c r="A7" s="4" t="s">
        <v>94</v>
      </c>
      <c r="B7" s="9">
        <v>0</v>
      </c>
      <c r="C7" s="9">
        <v>0</v>
      </c>
      <c r="D7" s="10">
        <f t="shared" si="0"/>
        <v>0</v>
      </c>
      <c r="E7" s="8"/>
      <c r="F7" s="29" t="s">
        <v>4</v>
      </c>
      <c r="G7" s="30">
        <f>G5-G6</f>
        <v>0</v>
      </c>
      <c r="H7" s="30">
        <f>H5-H6</f>
        <v>0</v>
      </c>
      <c r="I7" s="30">
        <f>H7-G7</f>
        <v>0</v>
      </c>
    </row>
    <row r="8" spans="1:9" s="2" customFormat="1" x14ac:dyDescent="0.35">
      <c r="A8" s="4" t="s">
        <v>121</v>
      </c>
      <c r="B8" s="9"/>
      <c r="C8" s="9"/>
      <c r="D8" s="10">
        <f t="shared" si="0"/>
        <v>0</v>
      </c>
      <c r="E8" s="11"/>
      <c r="F8" s="11"/>
      <c r="G8" s="11"/>
      <c r="H8" s="11"/>
      <c r="I8" s="11"/>
    </row>
    <row r="9" spans="1:9" x14ac:dyDescent="0.35">
      <c r="A9" s="4" t="s">
        <v>50</v>
      </c>
      <c r="B9" s="9"/>
      <c r="C9" s="9"/>
      <c r="D9" s="10">
        <f t="shared" si="0"/>
        <v>0</v>
      </c>
      <c r="E9" s="8"/>
      <c r="F9" s="11"/>
      <c r="G9" s="11"/>
      <c r="H9" s="11"/>
      <c r="I9" s="11"/>
    </row>
    <row r="10" spans="1:9" x14ac:dyDescent="0.35">
      <c r="A10" s="4" t="s">
        <v>47</v>
      </c>
      <c r="B10" s="9"/>
      <c r="C10" s="9"/>
      <c r="D10" s="10">
        <f t="shared" si="0"/>
        <v>0</v>
      </c>
      <c r="E10" s="8"/>
      <c r="F10" s="21" t="s">
        <v>26</v>
      </c>
      <c r="G10" s="22" t="s">
        <v>49</v>
      </c>
      <c r="H10" s="23" t="s">
        <v>0</v>
      </c>
      <c r="I10" s="23" t="s">
        <v>46</v>
      </c>
    </row>
    <row r="11" spans="1:9" x14ac:dyDescent="0.35">
      <c r="A11" s="4" t="s">
        <v>10</v>
      </c>
      <c r="B11" s="9"/>
      <c r="C11" s="9"/>
      <c r="D11" s="10">
        <f t="shared" si="0"/>
        <v>0</v>
      </c>
      <c r="E11" s="8"/>
      <c r="F11" s="4" t="s">
        <v>5</v>
      </c>
      <c r="G11" s="14"/>
      <c r="H11" s="14"/>
      <c r="I11" s="10">
        <f t="shared" ref="I11:I19" si="1">G11-H11</f>
        <v>0</v>
      </c>
    </row>
    <row r="12" spans="1:9" x14ac:dyDescent="0.35">
      <c r="A12" s="4" t="s">
        <v>77</v>
      </c>
      <c r="B12" s="12"/>
      <c r="C12" s="12">
        <v>0</v>
      </c>
      <c r="D12" s="10">
        <f>C12-B12</f>
        <v>0</v>
      </c>
      <c r="E12" s="8"/>
      <c r="F12" s="4" t="s">
        <v>69</v>
      </c>
      <c r="G12" s="14">
        <v>0</v>
      </c>
      <c r="H12" s="14"/>
      <c r="I12" s="10">
        <f t="shared" si="1"/>
        <v>0</v>
      </c>
    </row>
    <row r="13" spans="1:9" x14ac:dyDescent="0.35">
      <c r="A13" s="37" t="str">
        <f>"Total " &amp; Table2179[[#Headers],[INCOME]]</f>
        <v>Total INCOME</v>
      </c>
      <c r="B13" s="38">
        <f>SUBTOTAL(109,Table2179[Budget])</f>
        <v>0</v>
      </c>
      <c r="C13" s="38">
        <f>SUBTOTAL(109,Table2179[Actual])</f>
        <v>0</v>
      </c>
      <c r="D13" s="39">
        <f>SUBTOTAL(109,Table2179[Difference])</f>
        <v>0</v>
      </c>
      <c r="E13" s="8"/>
      <c r="F13" s="4" t="s">
        <v>92</v>
      </c>
      <c r="G13" s="14">
        <v>0</v>
      </c>
      <c r="H13" s="14">
        <v>0</v>
      </c>
      <c r="I13" s="10">
        <f t="shared" si="1"/>
        <v>0</v>
      </c>
    </row>
    <row r="14" spans="1:9" x14ac:dyDescent="0.35">
      <c r="A14" s="8"/>
      <c r="B14" s="8"/>
      <c r="C14" s="8"/>
      <c r="D14" s="8"/>
      <c r="E14" s="8"/>
      <c r="F14" s="4" t="s">
        <v>57</v>
      </c>
      <c r="G14" s="14"/>
      <c r="H14" s="14"/>
      <c r="I14" s="10">
        <f t="shared" si="1"/>
        <v>0</v>
      </c>
    </row>
    <row r="15" spans="1:9" x14ac:dyDescent="0.35">
      <c r="A15" s="21" t="s">
        <v>9</v>
      </c>
      <c r="B15" s="22" t="s">
        <v>49</v>
      </c>
      <c r="C15" s="23" t="s">
        <v>0</v>
      </c>
      <c r="D15" s="23" t="s">
        <v>46</v>
      </c>
      <c r="E15" s="8"/>
      <c r="F15" s="4" t="s">
        <v>58</v>
      </c>
      <c r="G15" s="14"/>
      <c r="H15" s="14"/>
      <c r="I15" s="10">
        <f t="shared" si="1"/>
        <v>0</v>
      </c>
    </row>
    <row r="16" spans="1:9" x14ac:dyDescent="0.35">
      <c r="A16" s="4" t="s">
        <v>63</v>
      </c>
      <c r="B16" s="9"/>
      <c r="C16" s="9"/>
      <c r="D16" s="10">
        <f>B16-C16</f>
        <v>0</v>
      </c>
      <c r="E16" s="8"/>
      <c r="F16" s="4" t="s">
        <v>40</v>
      </c>
      <c r="G16" s="14"/>
      <c r="H16" s="14"/>
      <c r="I16" s="10">
        <f t="shared" si="1"/>
        <v>0</v>
      </c>
    </row>
    <row r="17" spans="1:9" x14ac:dyDescent="0.35">
      <c r="A17" s="4"/>
      <c r="B17" s="9"/>
      <c r="C17" s="9"/>
      <c r="D17" s="10">
        <f t="shared" ref="D17:D28" si="2">B17-C17</f>
        <v>0</v>
      </c>
      <c r="E17" s="8"/>
      <c r="F17" s="4" t="s">
        <v>71</v>
      </c>
      <c r="G17" s="14">
        <v>0</v>
      </c>
      <c r="H17" s="14">
        <v>0</v>
      </c>
      <c r="I17" s="10">
        <f t="shared" si="1"/>
        <v>0</v>
      </c>
    </row>
    <row r="18" spans="1:9" x14ac:dyDescent="0.35">
      <c r="A18" s="4" t="s">
        <v>62</v>
      </c>
      <c r="B18" s="9"/>
      <c r="C18" s="9"/>
      <c r="D18" s="10">
        <f t="shared" si="2"/>
        <v>0</v>
      </c>
      <c r="E18" s="8"/>
      <c r="F18" s="4" t="s">
        <v>74</v>
      </c>
      <c r="G18" s="14">
        <v>0</v>
      </c>
      <c r="H18" s="14">
        <v>0</v>
      </c>
      <c r="I18" s="10">
        <f t="shared" si="1"/>
        <v>0</v>
      </c>
    </row>
    <row r="19" spans="1:9" x14ac:dyDescent="0.35">
      <c r="A19" s="4" t="s">
        <v>61</v>
      </c>
      <c r="B19" s="9">
        <v>0</v>
      </c>
      <c r="C19" s="9">
        <v>0</v>
      </c>
      <c r="D19" s="10">
        <f t="shared" si="2"/>
        <v>0</v>
      </c>
      <c r="E19" s="8"/>
      <c r="F19" s="4" t="s">
        <v>70</v>
      </c>
      <c r="G19" s="14">
        <v>0</v>
      </c>
      <c r="H19" s="14"/>
      <c r="I19" s="10">
        <f t="shared" si="1"/>
        <v>0</v>
      </c>
    </row>
    <row r="20" spans="1:9" s="5" customFormat="1" x14ac:dyDescent="0.35">
      <c r="A20" s="4" t="s">
        <v>64</v>
      </c>
      <c r="B20" s="9">
        <v>0</v>
      </c>
      <c r="C20" s="9"/>
      <c r="D20" s="10">
        <f t="shared" si="2"/>
        <v>0</v>
      </c>
      <c r="E20" s="8"/>
      <c r="F20" s="37" t="str">
        <f>"Total " &amp; Table6180[[#Headers],[DAILY LIVING]]</f>
        <v>Total DAILY LIVING</v>
      </c>
      <c r="G20" s="38">
        <f>SUBTOTAL(109,Table6180[Budget])</f>
        <v>0</v>
      </c>
      <c r="H20" s="38">
        <f>SUBTOTAL(109,Table6180[Actual])</f>
        <v>0</v>
      </c>
      <c r="I20" s="39">
        <f>SUBTOTAL(109,Table6180[Difference])</f>
        <v>0</v>
      </c>
    </row>
    <row r="21" spans="1:9" x14ac:dyDescent="0.35">
      <c r="A21" s="4" t="s">
        <v>118</v>
      </c>
      <c r="B21" s="9"/>
      <c r="C21" s="9"/>
      <c r="D21" s="10">
        <f t="shared" si="2"/>
        <v>0</v>
      </c>
      <c r="E21" s="8"/>
      <c r="F21" s="8"/>
      <c r="G21" s="17"/>
      <c r="H21" s="17"/>
      <c r="I21" s="17"/>
    </row>
    <row r="22" spans="1:9" x14ac:dyDescent="0.35">
      <c r="A22" s="4" t="s">
        <v>39</v>
      </c>
      <c r="B22" s="9">
        <v>0</v>
      </c>
      <c r="C22" s="9">
        <v>0</v>
      </c>
      <c r="D22" s="10">
        <f t="shared" si="2"/>
        <v>0</v>
      </c>
      <c r="E22" s="8"/>
      <c r="F22" s="21" t="s">
        <v>78</v>
      </c>
      <c r="G22" s="22" t="s">
        <v>49</v>
      </c>
      <c r="H22" s="23" t="s">
        <v>0</v>
      </c>
      <c r="I22" s="23" t="s">
        <v>46</v>
      </c>
    </row>
    <row r="23" spans="1:9" x14ac:dyDescent="0.35">
      <c r="A23" s="4" t="s">
        <v>65</v>
      </c>
      <c r="B23" s="9">
        <v>0</v>
      </c>
      <c r="C23" s="9">
        <v>0</v>
      </c>
      <c r="D23" s="10">
        <f t="shared" si="2"/>
        <v>0</v>
      </c>
      <c r="E23" s="8"/>
      <c r="F23" s="4" t="s">
        <v>93</v>
      </c>
      <c r="G23" s="14"/>
      <c r="H23" s="14"/>
      <c r="I23" s="10">
        <f t="shared" ref="I23:I36" si="3">G23-H23</f>
        <v>0</v>
      </c>
    </row>
    <row r="24" spans="1:9" x14ac:dyDescent="0.35">
      <c r="A24" s="4" t="s">
        <v>38</v>
      </c>
      <c r="B24" s="9"/>
      <c r="C24" s="9"/>
      <c r="D24" s="10">
        <f t="shared" si="2"/>
        <v>0</v>
      </c>
      <c r="E24" s="8"/>
      <c r="F24" s="4" t="s">
        <v>10</v>
      </c>
      <c r="G24" s="14"/>
      <c r="H24" s="14">
        <v>0</v>
      </c>
      <c r="I24" s="10">
        <f t="shared" si="3"/>
        <v>0</v>
      </c>
    </row>
    <row r="25" spans="1:9" x14ac:dyDescent="0.35">
      <c r="A25" s="4" t="s">
        <v>37</v>
      </c>
      <c r="B25" s="9">
        <v>0</v>
      </c>
      <c r="C25" s="9"/>
      <c r="D25" s="10">
        <f>B25-C25</f>
        <v>0</v>
      </c>
      <c r="E25" s="8"/>
      <c r="F25" s="4" t="s">
        <v>10</v>
      </c>
      <c r="G25" s="14"/>
      <c r="H25" s="14"/>
      <c r="I25" s="10">
        <f t="shared" si="3"/>
        <v>0</v>
      </c>
    </row>
    <row r="26" spans="1:9" x14ac:dyDescent="0.35">
      <c r="A26" s="4" t="s">
        <v>73</v>
      </c>
      <c r="B26" s="9">
        <v>0</v>
      </c>
      <c r="C26" s="9"/>
      <c r="D26" s="10">
        <f t="shared" si="2"/>
        <v>0</v>
      </c>
      <c r="E26" s="8"/>
      <c r="F26" s="4" t="s">
        <v>21</v>
      </c>
      <c r="G26" s="14"/>
      <c r="H26" s="14"/>
      <c r="I26" s="10">
        <f t="shared" si="3"/>
        <v>0</v>
      </c>
    </row>
    <row r="27" spans="1:9" x14ac:dyDescent="0.35">
      <c r="A27" s="36" t="s">
        <v>75</v>
      </c>
      <c r="B27" s="9">
        <v>0</v>
      </c>
      <c r="C27" s="9">
        <v>0</v>
      </c>
      <c r="D27" s="10">
        <f t="shared" si="2"/>
        <v>0</v>
      </c>
      <c r="E27" s="8"/>
      <c r="F27" s="4" t="s">
        <v>41</v>
      </c>
      <c r="G27" s="14"/>
      <c r="H27" s="14">
        <v>0</v>
      </c>
      <c r="I27" s="10">
        <f t="shared" si="3"/>
        <v>0</v>
      </c>
    </row>
    <row r="28" spans="1:9" x14ac:dyDescent="0.35">
      <c r="A28" s="4" t="s">
        <v>10</v>
      </c>
      <c r="B28" s="14"/>
      <c r="C28" s="14"/>
      <c r="D28" s="10">
        <f t="shared" si="2"/>
        <v>0</v>
      </c>
      <c r="E28" s="8"/>
      <c r="F28" s="4" t="s">
        <v>42</v>
      </c>
      <c r="G28" s="14"/>
      <c r="H28" s="14"/>
      <c r="I28" s="10">
        <f t="shared" si="3"/>
        <v>0</v>
      </c>
    </row>
    <row r="29" spans="1:9" x14ac:dyDescent="0.35">
      <c r="A29" s="24" t="str">
        <f>"Total " &amp; Table5179[[#Headers],[HOME EXPENSES]]</f>
        <v>Total HOME EXPENSES</v>
      </c>
      <c r="B29" s="19">
        <f>SUBTOTAL(109,Table5179[Budget])</f>
        <v>0</v>
      </c>
      <c r="C29" s="19">
        <f>SUBTOTAL(109,Table5179[Actual])</f>
        <v>0</v>
      </c>
      <c r="D29" s="13">
        <f>SUBTOTAL(109,Table5179[Difference])</f>
        <v>0</v>
      </c>
      <c r="E29" s="8"/>
      <c r="F29" s="4" t="s">
        <v>10</v>
      </c>
      <c r="G29" s="14"/>
      <c r="H29" s="14">
        <v>0</v>
      </c>
      <c r="I29" s="10">
        <f t="shared" si="3"/>
        <v>0</v>
      </c>
    </row>
    <row r="30" spans="1:9" x14ac:dyDescent="0.35">
      <c r="A30" s="8"/>
      <c r="B30" s="17"/>
      <c r="C30" s="17"/>
      <c r="D30" s="17"/>
      <c r="E30" s="8"/>
      <c r="F30" s="4" t="s">
        <v>23</v>
      </c>
      <c r="G30" s="14"/>
      <c r="H30" s="14"/>
      <c r="I30" s="10">
        <f t="shared" si="3"/>
        <v>0</v>
      </c>
    </row>
    <row r="31" spans="1:9" x14ac:dyDescent="0.35">
      <c r="A31" s="21" t="s">
        <v>11</v>
      </c>
      <c r="B31" s="22" t="s">
        <v>49</v>
      </c>
      <c r="C31" s="23" t="s">
        <v>0</v>
      </c>
      <c r="D31" s="23" t="s">
        <v>46</v>
      </c>
      <c r="E31" s="8"/>
      <c r="F31" s="4" t="s">
        <v>43</v>
      </c>
      <c r="G31" s="14"/>
      <c r="H31" s="14"/>
      <c r="I31" s="10">
        <f t="shared" si="3"/>
        <v>0</v>
      </c>
    </row>
    <row r="32" spans="1:9" x14ac:dyDescent="0.35">
      <c r="A32" s="4" t="s">
        <v>12</v>
      </c>
      <c r="B32" s="14">
        <v>0</v>
      </c>
      <c r="C32" s="14"/>
      <c r="D32" s="10">
        <f>B32-C32</f>
        <v>0</v>
      </c>
      <c r="E32" s="8"/>
      <c r="F32" s="4" t="s">
        <v>24</v>
      </c>
      <c r="G32" s="14"/>
      <c r="H32" s="14"/>
      <c r="I32" s="10">
        <f t="shared" si="3"/>
        <v>0</v>
      </c>
    </row>
    <row r="33" spans="1:9" x14ac:dyDescent="0.35">
      <c r="A33" s="4" t="s">
        <v>52</v>
      </c>
      <c r="B33" s="14"/>
      <c r="C33" s="14"/>
      <c r="D33" s="10">
        <f t="shared" ref="D33:D38" si="4">B33-C33</f>
        <v>0</v>
      </c>
      <c r="E33" s="8"/>
      <c r="F33" s="4" t="s">
        <v>22</v>
      </c>
      <c r="G33" s="14"/>
      <c r="H33" s="14"/>
      <c r="I33" s="10">
        <f t="shared" si="3"/>
        <v>0</v>
      </c>
    </row>
    <row r="34" spans="1:9" x14ac:dyDescent="0.35">
      <c r="A34" s="4" t="s">
        <v>13</v>
      </c>
      <c r="B34" s="14"/>
      <c r="C34" s="14"/>
      <c r="D34" s="10">
        <f>B34-C34</f>
        <v>0</v>
      </c>
      <c r="E34" s="8"/>
      <c r="F34" s="4" t="s">
        <v>44</v>
      </c>
      <c r="G34" s="14"/>
      <c r="H34" s="14">
        <v>0</v>
      </c>
      <c r="I34" s="10">
        <f t="shared" si="3"/>
        <v>0</v>
      </c>
    </row>
    <row r="35" spans="1:9" x14ac:dyDescent="0.35">
      <c r="A35" s="4" t="s">
        <v>35</v>
      </c>
      <c r="B35" s="14"/>
      <c r="C35" s="14"/>
      <c r="D35" s="10">
        <f t="shared" si="4"/>
        <v>0</v>
      </c>
      <c r="E35" s="8"/>
      <c r="F35" s="4" t="s">
        <v>59</v>
      </c>
      <c r="G35" s="14"/>
      <c r="H35" s="14"/>
      <c r="I35" s="10">
        <f t="shared" si="3"/>
        <v>0</v>
      </c>
    </row>
    <row r="36" spans="1:9" x14ac:dyDescent="0.35">
      <c r="A36" s="4" t="s">
        <v>14</v>
      </c>
      <c r="B36" s="14"/>
      <c r="C36" s="14"/>
      <c r="D36" s="10">
        <f t="shared" si="4"/>
        <v>0</v>
      </c>
      <c r="E36" s="8"/>
      <c r="F36" s="4" t="s">
        <v>76</v>
      </c>
      <c r="G36" s="14"/>
      <c r="H36" s="14">
        <v>0</v>
      </c>
      <c r="I36" s="10">
        <f t="shared" si="3"/>
        <v>0</v>
      </c>
    </row>
    <row r="37" spans="1:9" x14ac:dyDescent="0.35">
      <c r="A37" s="4" t="s">
        <v>36</v>
      </c>
      <c r="B37" s="14"/>
      <c r="C37" s="14"/>
      <c r="D37" s="10">
        <f t="shared" si="4"/>
        <v>0</v>
      </c>
      <c r="E37" s="8"/>
      <c r="F37" s="37" t="str">
        <f>"Total " &amp; Table7181[[#Headers],[Entertainment]]</f>
        <v>Total Entertainment</v>
      </c>
      <c r="G37" s="38">
        <f>SUBTOTAL(109,Table7181[Budget])</f>
        <v>0</v>
      </c>
      <c r="H37" s="38">
        <f>SUBTOTAL(109,Table7181[Actual])</f>
        <v>0</v>
      </c>
      <c r="I37" s="39">
        <f>SUBTOTAL(109,Table7181[Difference])</f>
        <v>0</v>
      </c>
    </row>
    <row r="38" spans="1:9" x14ac:dyDescent="0.35">
      <c r="A38" s="4" t="s">
        <v>10</v>
      </c>
      <c r="B38" s="14"/>
      <c r="C38" s="14"/>
      <c r="D38" s="10">
        <f t="shared" si="4"/>
        <v>0</v>
      </c>
      <c r="E38" s="8"/>
      <c r="F38" s="8"/>
      <c r="G38" s="17"/>
      <c r="H38" s="17"/>
      <c r="I38" s="17"/>
    </row>
    <row r="39" spans="1:9" x14ac:dyDescent="0.35">
      <c r="A39" s="24" t="str">
        <f>"Total " &amp; Table20187[[#Headers],[TRANSPORTATION]]</f>
        <v>Total TRANSPORTATION</v>
      </c>
      <c r="B39" s="19">
        <f>SUBTOTAL(109,Table20187[Budget])</f>
        <v>0</v>
      </c>
      <c r="C39" s="19">
        <f>SUBTOTAL(109,Table20187[Actual])</f>
        <v>0</v>
      </c>
      <c r="D39" s="13">
        <f>SUBTOTAL(109,Table20187[Difference])</f>
        <v>0</v>
      </c>
      <c r="E39" s="8"/>
      <c r="F39" s="21" t="s">
        <v>32</v>
      </c>
      <c r="G39" s="22" t="s">
        <v>49</v>
      </c>
      <c r="H39" s="23" t="s">
        <v>0</v>
      </c>
      <c r="I39" s="23" t="s">
        <v>46</v>
      </c>
    </row>
    <row r="40" spans="1:9" x14ac:dyDescent="0.35">
      <c r="A40" s="8"/>
      <c r="B40" s="17"/>
      <c r="C40" s="17"/>
      <c r="D40" s="17"/>
      <c r="E40" s="8"/>
      <c r="F40" s="4" t="s">
        <v>29</v>
      </c>
      <c r="G40" s="14"/>
      <c r="H40" s="14"/>
      <c r="I40" s="10">
        <f>G40-H40</f>
        <v>0</v>
      </c>
    </row>
    <row r="41" spans="1:9" x14ac:dyDescent="0.35">
      <c r="A41" s="21" t="s">
        <v>15</v>
      </c>
      <c r="B41" s="22" t="s">
        <v>49</v>
      </c>
      <c r="C41" s="23" t="s">
        <v>0</v>
      </c>
      <c r="D41" s="23" t="s">
        <v>46</v>
      </c>
      <c r="E41" s="8"/>
      <c r="F41" s="4" t="s">
        <v>30</v>
      </c>
      <c r="G41" s="14"/>
      <c r="H41" s="14"/>
      <c r="I41" s="10">
        <f t="shared" ref="I41:I42" si="5">G41-H41</f>
        <v>0</v>
      </c>
    </row>
    <row r="42" spans="1:9" x14ac:dyDescent="0.35">
      <c r="A42" s="4" t="s">
        <v>53</v>
      </c>
      <c r="B42" s="14"/>
      <c r="C42" s="14"/>
      <c r="D42" s="10">
        <f t="shared" ref="D42:D48" si="6">B42-C42</f>
        <v>0</v>
      </c>
      <c r="E42" s="8"/>
      <c r="F42" s="4" t="s">
        <v>33</v>
      </c>
      <c r="G42" s="14"/>
      <c r="H42" s="14"/>
      <c r="I42" s="10">
        <f t="shared" si="5"/>
        <v>0</v>
      </c>
    </row>
    <row r="43" spans="1:9" x14ac:dyDescent="0.35">
      <c r="A43" s="4" t="s">
        <v>16</v>
      </c>
      <c r="B43" s="14"/>
      <c r="C43" s="14">
        <v>0</v>
      </c>
      <c r="D43" s="10">
        <f t="shared" si="6"/>
        <v>0</v>
      </c>
      <c r="E43" s="8"/>
      <c r="F43" s="4" t="s">
        <v>31</v>
      </c>
      <c r="G43" s="14"/>
      <c r="H43" s="14"/>
      <c r="I43" s="10">
        <f>G43-H43</f>
        <v>0</v>
      </c>
    </row>
    <row r="44" spans="1:9" x14ac:dyDescent="0.35">
      <c r="A44" s="4" t="s">
        <v>17</v>
      </c>
      <c r="B44" s="14"/>
      <c r="C44" s="14"/>
      <c r="D44" s="10">
        <f t="shared" si="6"/>
        <v>0</v>
      </c>
      <c r="E44" s="8"/>
      <c r="F44" s="4" t="s">
        <v>60</v>
      </c>
      <c r="G44" s="14"/>
      <c r="H44" s="14"/>
      <c r="I44" s="10">
        <f>G44-H44</f>
        <v>0</v>
      </c>
    </row>
    <row r="45" spans="1:9" x14ac:dyDescent="0.35">
      <c r="A45" s="4" t="s">
        <v>18</v>
      </c>
      <c r="B45" s="14">
        <v>0</v>
      </c>
      <c r="C45" s="14">
        <v>0</v>
      </c>
      <c r="D45" s="10">
        <f t="shared" si="6"/>
        <v>0</v>
      </c>
      <c r="E45" s="8"/>
      <c r="F45" s="4" t="s">
        <v>10</v>
      </c>
      <c r="G45" s="14"/>
      <c r="H45" s="14"/>
      <c r="I45" s="10">
        <f>G45-H45</f>
        <v>0</v>
      </c>
    </row>
    <row r="46" spans="1:9" x14ac:dyDescent="0.35">
      <c r="A46" s="4" t="s">
        <v>54</v>
      </c>
      <c r="B46" s="14"/>
      <c r="C46" s="14"/>
      <c r="D46" s="10">
        <f t="shared" si="6"/>
        <v>0</v>
      </c>
      <c r="E46" s="8"/>
      <c r="F46" s="24" t="str">
        <f>"Total " &amp; Table8182[[#Headers],[SAVINGS]]</f>
        <v>Total SAVINGS</v>
      </c>
      <c r="G46" s="19">
        <f>SUBTOTAL(109,Table8182[Budget])</f>
        <v>0</v>
      </c>
      <c r="H46" s="19">
        <f>SUBTOTAL(109,Table8182[Actual])</f>
        <v>0</v>
      </c>
      <c r="I46" s="13">
        <f>SUBTOTAL(109,Table8182[Difference])</f>
        <v>0</v>
      </c>
    </row>
    <row r="47" spans="1:9" x14ac:dyDescent="0.35">
      <c r="A47" s="4" t="s">
        <v>55</v>
      </c>
      <c r="B47" s="14"/>
      <c r="C47" s="14"/>
      <c r="D47" s="10">
        <f t="shared" si="6"/>
        <v>0</v>
      </c>
      <c r="E47" s="8"/>
      <c r="F47" s="8"/>
      <c r="G47" s="17"/>
      <c r="H47" s="17"/>
      <c r="I47" s="17"/>
    </row>
    <row r="48" spans="1:9" x14ac:dyDescent="0.35">
      <c r="A48" s="4" t="s">
        <v>10</v>
      </c>
      <c r="B48" s="14"/>
      <c r="C48" s="14"/>
      <c r="D48" s="10">
        <f t="shared" si="6"/>
        <v>0</v>
      </c>
      <c r="E48" s="8"/>
      <c r="F48" s="21" t="s">
        <v>34</v>
      </c>
      <c r="G48" s="22" t="s">
        <v>49</v>
      </c>
      <c r="H48" s="23" t="s">
        <v>0</v>
      </c>
      <c r="I48" s="23" t="s">
        <v>46</v>
      </c>
    </row>
    <row r="49" spans="1:9" x14ac:dyDescent="0.35">
      <c r="A49" s="24" t="str">
        <f>"Total " &amp; Table21188[[#Headers],[HEALTH]]</f>
        <v>Total HEALTH</v>
      </c>
      <c r="B49" s="19">
        <f>SUBTOTAL(109,Table21188[Budget])</f>
        <v>0</v>
      </c>
      <c r="C49" s="19">
        <f>SUBTOTAL(109,Table21188[Actual])</f>
        <v>0</v>
      </c>
      <c r="D49" s="13">
        <f>SUBTOTAL(109,Table21188[Difference])</f>
        <v>0</v>
      </c>
      <c r="E49" s="8"/>
      <c r="F49" s="4" t="s">
        <v>114</v>
      </c>
      <c r="G49" s="14">
        <v>0</v>
      </c>
      <c r="H49" s="14"/>
      <c r="I49" s="10">
        <f t="shared" ref="I49:I55" si="7">G49-H49</f>
        <v>0</v>
      </c>
    </row>
    <row r="50" spans="1:9" x14ac:dyDescent="0.35">
      <c r="A50" s="8"/>
      <c r="B50" s="17"/>
      <c r="C50" s="17"/>
      <c r="D50" s="17"/>
      <c r="E50" s="8"/>
      <c r="F50" s="4" t="s">
        <v>114</v>
      </c>
      <c r="G50" s="14">
        <v>0</v>
      </c>
      <c r="H50" s="14"/>
      <c r="I50" s="10">
        <f t="shared" si="7"/>
        <v>0</v>
      </c>
    </row>
    <row r="51" spans="1:9" x14ac:dyDescent="0.35">
      <c r="A51" s="21" t="s">
        <v>45</v>
      </c>
      <c r="B51" s="22" t="s">
        <v>49</v>
      </c>
      <c r="C51" s="23" t="s">
        <v>0</v>
      </c>
      <c r="D51" s="23" t="s">
        <v>46</v>
      </c>
      <c r="E51" s="8"/>
      <c r="F51" s="4" t="s">
        <v>114</v>
      </c>
      <c r="G51" s="14">
        <v>0</v>
      </c>
      <c r="H51" s="14"/>
      <c r="I51" s="10">
        <f t="shared" si="7"/>
        <v>0</v>
      </c>
    </row>
    <row r="52" spans="1:9" x14ac:dyDescent="0.35">
      <c r="A52" s="4" t="s">
        <v>6</v>
      </c>
      <c r="B52" s="14"/>
      <c r="C52" s="14">
        <v>0</v>
      </c>
      <c r="D52" s="10">
        <f t="shared" ref="D52:D55" si="8">B52-C52</f>
        <v>0</v>
      </c>
      <c r="E52" s="8"/>
      <c r="F52" s="4" t="s">
        <v>115</v>
      </c>
      <c r="G52" s="14">
        <v>0</v>
      </c>
      <c r="H52" s="14"/>
      <c r="I52" s="10">
        <f t="shared" si="7"/>
        <v>0</v>
      </c>
    </row>
    <row r="53" spans="1:9" x14ac:dyDescent="0.35">
      <c r="A53" s="4" t="s">
        <v>27</v>
      </c>
      <c r="B53" s="14"/>
      <c r="C53" s="14"/>
      <c r="D53" s="10">
        <f t="shared" si="8"/>
        <v>0</v>
      </c>
      <c r="E53" s="8"/>
      <c r="F53" s="4" t="s">
        <v>115</v>
      </c>
      <c r="G53" s="14">
        <v>0</v>
      </c>
      <c r="H53" s="14"/>
      <c r="I53" s="10">
        <f t="shared" si="7"/>
        <v>0</v>
      </c>
    </row>
    <row r="54" spans="1:9" x14ac:dyDescent="0.35">
      <c r="A54" s="4" t="s">
        <v>28</v>
      </c>
      <c r="B54" s="14"/>
      <c r="C54" s="14"/>
      <c r="D54" s="10">
        <f t="shared" si="8"/>
        <v>0</v>
      </c>
      <c r="E54" s="8"/>
      <c r="F54" s="4" t="s">
        <v>116</v>
      </c>
      <c r="G54" s="14"/>
      <c r="H54" s="14"/>
      <c r="I54" s="10">
        <f t="shared" si="7"/>
        <v>0</v>
      </c>
    </row>
    <row r="55" spans="1:9" x14ac:dyDescent="0.35">
      <c r="A55" s="4" t="s">
        <v>10</v>
      </c>
      <c r="B55" s="14"/>
      <c r="C55" s="14"/>
      <c r="D55" s="10">
        <f t="shared" si="8"/>
        <v>0</v>
      </c>
      <c r="E55" s="8"/>
      <c r="F55" s="4" t="s">
        <v>131</v>
      </c>
      <c r="G55" s="14"/>
      <c r="H55" s="14"/>
      <c r="I55" s="10">
        <f t="shared" si="7"/>
        <v>0</v>
      </c>
    </row>
    <row r="56" spans="1:9" x14ac:dyDescent="0.35">
      <c r="A56" s="24" t="str">
        <f>"Total " &amp; Table19186[[#Headers],[CHARITY/GIFTS]]</f>
        <v>Total CHARITY/GIFTS</v>
      </c>
      <c r="B56" s="19">
        <f>SUBTOTAL(109,Table19186[Budget])</f>
        <v>0</v>
      </c>
      <c r="C56" s="19">
        <f>SUBTOTAL(109,Table19186[Actual])</f>
        <v>0</v>
      </c>
      <c r="D56" s="13">
        <f>SUBTOTAL(109,Table19186[Difference])</f>
        <v>0</v>
      </c>
      <c r="E56" s="8"/>
      <c r="F56" s="37" t="str">
        <f>"Total " &amp; Table10183[[#Headers],[OBLIGATIONS]]</f>
        <v>Total OBLIGATIONS</v>
      </c>
      <c r="G56" s="38">
        <f>SUBTOTAL(109,Table10183[Budget])</f>
        <v>0</v>
      </c>
      <c r="H56" s="38">
        <f>SUBTOTAL(109,Table10183[Actual])</f>
        <v>0</v>
      </c>
      <c r="I56" s="39">
        <f>SUBTOTAL(109,Table10183[Difference])</f>
        <v>0</v>
      </c>
    </row>
    <row r="57" spans="1:9" x14ac:dyDescent="0.35">
      <c r="A57" s="8"/>
      <c r="B57" s="17"/>
      <c r="C57" s="17"/>
      <c r="D57" s="17"/>
      <c r="E57" s="8"/>
      <c r="F57" s="8"/>
      <c r="G57" s="17"/>
      <c r="H57" s="17"/>
      <c r="I57" s="17"/>
    </row>
    <row r="58" spans="1:9" x14ac:dyDescent="0.35">
      <c r="A58" s="21" t="s">
        <v>25</v>
      </c>
      <c r="B58" s="22" t="s">
        <v>49</v>
      </c>
      <c r="C58" s="23" t="s">
        <v>0</v>
      </c>
      <c r="D58" s="23" t="s">
        <v>46</v>
      </c>
      <c r="E58" s="8"/>
      <c r="F58" s="21" t="s">
        <v>8</v>
      </c>
      <c r="G58" s="22" t="s">
        <v>49</v>
      </c>
      <c r="H58" s="23" t="s">
        <v>0</v>
      </c>
      <c r="I58" s="23" t="s">
        <v>46</v>
      </c>
    </row>
    <row r="59" spans="1:9" x14ac:dyDescent="0.35">
      <c r="A59" s="4" t="s">
        <v>19</v>
      </c>
      <c r="B59" s="14"/>
      <c r="C59" s="14"/>
      <c r="D59" s="10">
        <f t="shared" ref="D59:D62" si="9">B59-C59</f>
        <v>0</v>
      </c>
      <c r="E59" s="8"/>
      <c r="F59" s="4" t="s">
        <v>68</v>
      </c>
      <c r="G59" s="9"/>
      <c r="H59" s="9">
        <v>0</v>
      </c>
      <c r="I59" s="10">
        <f t="shared" ref="I59:I62" si="10">G59-H59</f>
        <v>0</v>
      </c>
    </row>
    <row r="60" spans="1:9" x14ac:dyDescent="0.35">
      <c r="A60" s="4" t="s">
        <v>101</v>
      </c>
      <c r="B60" s="14"/>
      <c r="C60" s="14">
        <v>0</v>
      </c>
      <c r="D60" s="10">
        <f t="shared" si="9"/>
        <v>0</v>
      </c>
      <c r="E60" s="8"/>
      <c r="F60" s="4" t="s">
        <v>72</v>
      </c>
      <c r="G60" s="9"/>
      <c r="H60" s="9">
        <v>0</v>
      </c>
      <c r="I60" s="10">
        <f t="shared" si="10"/>
        <v>0</v>
      </c>
    </row>
    <row r="61" spans="1:9" x14ac:dyDescent="0.35">
      <c r="A61" s="4" t="s">
        <v>56</v>
      </c>
      <c r="B61" s="14"/>
      <c r="C61" s="14"/>
      <c r="D61" s="10">
        <f t="shared" si="9"/>
        <v>0</v>
      </c>
      <c r="E61" s="8"/>
      <c r="F61" s="4" t="s">
        <v>67</v>
      </c>
      <c r="G61" s="9"/>
      <c r="H61" s="9">
        <v>0</v>
      </c>
      <c r="I61" s="10">
        <f t="shared" si="10"/>
        <v>0</v>
      </c>
    </row>
    <row r="62" spans="1:9" x14ac:dyDescent="0.35">
      <c r="A62" s="4" t="s">
        <v>10</v>
      </c>
      <c r="B62" s="14"/>
      <c r="C62" s="14"/>
      <c r="D62" s="10">
        <f t="shared" si="9"/>
        <v>0</v>
      </c>
      <c r="E62" s="8"/>
      <c r="F62" s="4" t="s">
        <v>10</v>
      </c>
      <c r="G62" s="14"/>
      <c r="H62" s="14"/>
      <c r="I62" s="10">
        <f t="shared" si="10"/>
        <v>0</v>
      </c>
    </row>
    <row r="63" spans="1:9" x14ac:dyDescent="0.35">
      <c r="A63" s="24" t="str">
        <f>"Total " &amp; Table15185[[#Headers],[SUBSCRIPTIONS]]</f>
        <v>Total SUBSCRIPTIONS</v>
      </c>
      <c r="B63" s="19">
        <f>SUBTOTAL(109,Table15185[Budget])</f>
        <v>0</v>
      </c>
      <c r="C63" s="19">
        <f>SUBTOTAL(109,Table15185[Actual])</f>
        <v>0</v>
      </c>
      <c r="D63" s="13">
        <f>SUBTOTAL(109,Table15185[Difference])</f>
        <v>0</v>
      </c>
      <c r="E63" s="8"/>
      <c r="F63" s="24" t="str">
        <f>"Total " &amp; Table14184[[#Headers],[MISCELLANEOUS]]</f>
        <v>Total MISCELLANEOUS</v>
      </c>
      <c r="G63" s="19">
        <f>SUBTOTAL(109,Table14184[Budget])</f>
        <v>0</v>
      </c>
      <c r="H63" s="19">
        <f>SUBTOTAL(109,Table14184[Actual])</f>
        <v>0</v>
      </c>
      <c r="I63" s="13">
        <f>SUBTOTAL(109,Table14184[Difference])</f>
        <v>0</v>
      </c>
    </row>
    <row r="64" spans="1:9" x14ac:dyDescent="0.35">
      <c r="E64" s="8"/>
      <c r="F64" s="7"/>
    </row>
    <row r="65" spans="5:6" x14ac:dyDescent="0.35">
      <c r="E65" s="8"/>
      <c r="F65" s="7"/>
    </row>
    <row r="66" spans="5:6" x14ac:dyDescent="0.35">
      <c r="E66" s="8"/>
      <c r="F66" s="7"/>
    </row>
    <row r="67" spans="5:6" x14ac:dyDescent="0.35">
      <c r="E67" s="8"/>
      <c r="F67" s="7"/>
    </row>
    <row r="68" spans="5:6" x14ac:dyDescent="0.35">
      <c r="E68" s="8"/>
      <c r="F68" s="7"/>
    </row>
    <row r="69" spans="5:6" x14ac:dyDescent="0.35">
      <c r="E69" s="8"/>
      <c r="F69" s="7"/>
    </row>
    <row r="70" spans="5:6" x14ac:dyDescent="0.35">
      <c r="E70" s="8"/>
    </row>
    <row r="71" spans="5:6" x14ac:dyDescent="0.35">
      <c r="E71" s="8"/>
    </row>
    <row r="72" spans="5:6" x14ac:dyDescent="0.35">
      <c r="E72" s="8"/>
      <c r="F72" s="7"/>
    </row>
    <row r="73" spans="5:6" x14ac:dyDescent="0.35">
      <c r="E73" s="8"/>
      <c r="F73" s="7"/>
    </row>
    <row r="74" spans="5:6" x14ac:dyDescent="0.35">
      <c r="E74" s="15"/>
      <c r="F74" s="7"/>
    </row>
    <row r="75" spans="5:6" x14ac:dyDescent="0.35">
      <c r="E75" s="16"/>
      <c r="F75" s="7"/>
    </row>
    <row r="76" spans="5:6" x14ac:dyDescent="0.35">
      <c r="E76" s="16"/>
      <c r="F76" s="7"/>
    </row>
    <row r="77" spans="5:6" x14ac:dyDescent="0.35">
      <c r="E77" s="16"/>
      <c r="F77" s="7"/>
    </row>
    <row r="78" spans="5:6" x14ac:dyDescent="0.35">
      <c r="E78" s="16"/>
      <c r="F78" s="7"/>
    </row>
    <row r="79" spans="5:6" x14ac:dyDescent="0.35">
      <c r="E79" s="8"/>
      <c r="F79" s="7"/>
    </row>
    <row r="80" spans="5:6" x14ac:dyDescent="0.35">
      <c r="E80" s="15"/>
      <c r="F80" s="7"/>
    </row>
    <row r="81" spans="5:6" x14ac:dyDescent="0.35">
      <c r="E81" s="16"/>
      <c r="F81" s="7"/>
    </row>
    <row r="82" spans="5:6" x14ac:dyDescent="0.35">
      <c r="E82" s="16"/>
    </row>
    <row r="83" spans="5:6" x14ac:dyDescent="0.35">
      <c r="E83" s="16"/>
    </row>
    <row r="84" spans="5:6" x14ac:dyDescent="0.35">
      <c r="E84" s="20" t="s">
        <v>48</v>
      </c>
    </row>
    <row r="85" spans="5:6" x14ac:dyDescent="0.35">
      <c r="E85" s="16"/>
    </row>
    <row r="86" spans="5:6" x14ac:dyDescent="0.35">
      <c r="E86" s="16"/>
    </row>
    <row r="87" spans="5:6" x14ac:dyDescent="0.35">
      <c r="E87" s="16"/>
    </row>
    <row r="88" spans="5:6" x14ac:dyDescent="0.35">
      <c r="E88" s="16"/>
    </row>
    <row r="89" spans="5:6" x14ac:dyDescent="0.35">
      <c r="E89" s="16"/>
    </row>
    <row r="90" spans="5:6" x14ac:dyDescent="0.35">
      <c r="E90" s="8"/>
    </row>
    <row r="91" spans="5:6" x14ac:dyDescent="0.35">
      <c r="E91" s="15"/>
    </row>
    <row r="92" spans="5:6" x14ac:dyDescent="0.35">
      <c r="E92" s="7"/>
    </row>
    <row r="93" spans="5:6" x14ac:dyDescent="0.35">
      <c r="E93" s="7"/>
    </row>
    <row r="94" spans="5:6" x14ac:dyDescent="0.35">
      <c r="E94" s="7"/>
    </row>
    <row r="95" spans="5:6" x14ac:dyDescent="0.35">
      <c r="E95" s="7"/>
    </row>
    <row r="96" spans="5:6" x14ac:dyDescent="0.35">
      <c r="E96" s="7"/>
    </row>
    <row r="97" spans="5:5" x14ac:dyDescent="0.35">
      <c r="E97" s="7"/>
    </row>
    <row r="98" spans="5:5" x14ac:dyDescent="0.35">
      <c r="E98" s="7"/>
    </row>
    <row r="99" spans="5:5" x14ac:dyDescent="0.35">
      <c r="E99" s="7"/>
    </row>
    <row r="100" spans="5:5" x14ac:dyDescent="0.35">
      <c r="E100" s="7"/>
    </row>
    <row r="101" spans="5:5" x14ac:dyDescent="0.35">
      <c r="E101" s="7"/>
    </row>
    <row r="122" spans="6:6" x14ac:dyDescent="0.35">
      <c r="F122" s="7"/>
    </row>
    <row r="123" spans="6:6" x14ac:dyDescent="0.35">
      <c r="F123" s="7"/>
    </row>
    <row r="124" spans="6:6" x14ac:dyDescent="0.35">
      <c r="F124" s="7"/>
    </row>
    <row r="125" spans="6:6" x14ac:dyDescent="0.35">
      <c r="F125" s="7"/>
    </row>
    <row r="126" spans="6:6" x14ac:dyDescent="0.35">
      <c r="F126" s="7"/>
    </row>
    <row r="127" spans="6:6" x14ac:dyDescent="0.35">
      <c r="F127" s="7"/>
    </row>
    <row r="128" spans="6:6" x14ac:dyDescent="0.35">
      <c r="F128" s="7"/>
    </row>
    <row r="131" spans="5:6" x14ac:dyDescent="0.35">
      <c r="F131" s="7"/>
    </row>
    <row r="132" spans="5:6" x14ac:dyDescent="0.35">
      <c r="F132" s="7"/>
    </row>
    <row r="133" spans="5:6" x14ac:dyDescent="0.35">
      <c r="F133" s="7"/>
    </row>
    <row r="134" spans="5:6" x14ac:dyDescent="0.35">
      <c r="F134" s="7"/>
    </row>
    <row r="135" spans="5:6" x14ac:dyDescent="0.35">
      <c r="F135" s="7"/>
    </row>
    <row r="136" spans="5:6" x14ac:dyDescent="0.35">
      <c r="F136" s="7"/>
    </row>
    <row r="137" spans="5:6" x14ac:dyDescent="0.35">
      <c r="F137" s="7"/>
    </row>
    <row r="141" spans="5:6" x14ac:dyDescent="0.35">
      <c r="E141" s="6"/>
    </row>
    <row r="142" spans="5:6" x14ac:dyDescent="0.35">
      <c r="E142" s="7"/>
    </row>
    <row r="143" spans="5:6" x14ac:dyDescent="0.35">
      <c r="E143" s="7"/>
    </row>
    <row r="144" spans="5:6" x14ac:dyDescent="0.35">
      <c r="E144" s="7"/>
    </row>
    <row r="145" spans="5:5" x14ac:dyDescent="0.35">
      <c r="E145" s="7"/>
    </row>
    <row r="146" spans="5:5" x14ac:dyDescent="0.35">
      <c r="E146" s="7"/>
    </row>
    <row r="147" spans="5:5" x14ac:dyDescent="0.35">
      <c r="E147" s="7"/>
    </row>
    <row r="148" spans="5:5" x14ac:dyDescent="0.35">
      <c r="E148" s="7"/>
    </row>
    <row r="150" spans="5:5" x14ac:dyDescent="0.35">
      <c r="E150" s="6"/>
    </row>
    <row r="151" spans="5:5" x14ac:dyDescent="0.35">
      <c r="E151" s="7"/>
    </row>
    <row r="152" spans="5:5" x14ac:dyDescent="0.35">
      <c r="E152" s="7"/>
    </row>
    <row r="153" spans="5:5" x14ac:dyDescent="0.35">
      <c r="E153" s="7"/>
    </row>
    <row r="154" spans="5:5" x14ac:dyDescent="0.35">
      <c r="E154" s="7"/>
    </row>
    <row r="155" spans="5:5" x14ac:dyDescent="0.35">
      <c r="E155" s="7"/>
    </row>
    <row r="156" spans="5:5" x14ac:dyDescent="0.35">
      <c r="E156" s="7"/>
    </row>
    <row r="157" spans="5:5" x14ac:dyDescent="0.35">
      <c r="E157" s="7"/>
    </row>
  </sheetData>
  <mergeCells count="1">
    <mergeCell ref="H2:I2"/>
  </mergeCells>
  <conditionalFormatting sqref="D32:D38 D52:D55 D59:D62 D16:D28 I49:I55 D5:D13 D42:D48 I11:I19 I23:I36 I40:I45 I59:I62">
    <cfRule type="cellIs" dxfId="1195" priority="2" stopIfTrue="1" operator="lessThan">
      <formula>0</formula>
    </cfRule>
  </conditionalFormatting>
  <conditionalFormatting sqref="I5">
    <cfRule type="expression" dxfId="1194" priority="1">
      <formula>IF(,,H5&gt;G5)</formula>
    </cfRule>
  </conditionalFormatting>
  <pageMargins left="0.7" right="0.7" top="0.75" bottom="0.75" header="0.3" footer="0.3"/>
  <tableParts count="11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7"/>
  <sheetViews>
    <sheetView showGridLines="0" workbookViewId="0">
      <selection activeCell="C20" sqref="C20"/>
    </sheetView>
  </sheetViews>
  <sheetFormatPr defaultColWidth="9" defaultRowHeight="14.4" x14ac:dyDescent="0.35"/>
  <cols>
    <col min="1" max="1" width="25.3984375" style="1" customWidth="1"/>
    <col min="2" max="3" width="9.59765625" style="1" customWidth="1"/>
    <col min="4" max="4" width="10" style="1" bestFit="1" customWidth="1"/>
    <col min="5" max="5" width="2.59765625" style="1" customWidth="1"/>
    <col min="6" max="6" width="21.5" style="1" customWidth="1"/>
    <col min="7" max="8" width="9.59765625" style="1" customWidth="1"/>
    <col min="9" max="9" width="11.09765625" style="1" customWidth="1"/>
    <col min="10" max="16384" width="9" style="1"/>
  </cols>
  <sheetData>
    <row r="1" spans="1:9" ht="26.1" customHeight="1" x14ac:dyDescent="0.35">
      <c r="A1" s="34" t="s">
        <v>83</v>
      </c>
      <c r="B1" s="34"/>
      <c r="C1" s="34"/>
      <c r="D1" s="34"/>
      <c r="E1" s="34"/>
      <c r="F1" s="34"/>
      <c r="G1" s="34"/>
      <c r="H1" s="34"/>
      <c r="I1" s="34"/>
    </row>
    <row r="2" spans="1:9" s="2" customFormat="1" ht="13.8" x14ac:dyDescent="0.3">
      <c r="A2" s="35"/>
      <c r="B2" s="33"/>
      <c r="C2" s="33"/>
      <c r="D2" s="33"/>
      <c r="E2" s="31"/>
      <c r="F2" s="31"/>
      <c r="G2" s="32"/>
      <c r="H2" s="47"/>
      <c r="I2" s="47"/>
    </row>
    <row r="3" spans="1:9" s="2" customFormat="1" ht="12" x14ac:dyDescent="0.3">
      <c r="E3" s="3"/>
    </row>
    <row r="4" spans="1:9" x14ac:dyDescent="0.35">
      <c r="A4" s="21" t="s">
        <v>1</v>
      </c>
      <c r="B4" s="22" t="s">
        <v>49</v>
      </c>
      <c r="C4" s="23" t="s">
        <v>0</v>
      </c>
      <c r="D4" s="23" t="s">
        <v>46</v>
      </c>
      <c r="E4" s="18" t="s">
        <v>48</v>
      </c>
      <c r="F4" s="26" t="s">
        <v>51</v>
      </c>
      <c r="G4" s="27" t="s">
        <v>49</v>
      </c>
      <c r="H4" s="27" t="s">
        <v>0</v>
      </c>
      <c r="I4" s="27" t="s">
        <v>46</v>
      </c>
    </row>
    <row r="5" spans="1:9" ht="15" x14ac:dyDescent="0.35">
      <c r="A5" s="4" t="s">
        <v>7</v>
      </c>
      <c r="B5" s="43"/>
      <c r="C5" s="9"/>
      <c r="D5" s="10">
        <f t="shared" ref="D5:D11" si="0">C5-B5</f>
        <v>0</v>
      </c>
      <c r="E5" s="8"/>
      <c r="F5" s="28" t="s">
        <v>2</v>
      </c>
      <c r="G5" s="25">
        <f>Table2190[[#Totals],[Budget]]</f>
        <v>0</v>
      </c>
      <c r="H5" s="25">
        <f>Table2190[[#Totals],[Actual]]</f>
        <v>0</v>
      </c>
      <c r="I5" s="25">
        <f>G5-H5</f>
        <v>0</v>
      </c>
    </row>
    <row r="6" spans="1:9" ht="15" thickBot="1" x14ac:dyDescent="0.4">
      <c r="A6" s="4" t="s">
        <v>132</v>
      </c>
      <c r="B6" s="9"/>
      <c r="C6" s="9"/>
      <c r="D6" s="10">
        <f t="shared" si="0"/>
        <v>0</v>
      </c>
      <c r="E6" s="8"/>
      <c r="F6" s="28" t="s">
        <v>3</v>
      </c>
      <c r="G6" s="25">
        <f>SUM(,Table5190[[#Totals],[Budget]],Table20198[[#Totals],[Budget]],Table21199[[#Totals],[Budget]],Table19197[[#Totals],[Budget]],Table15196[[#Totals],[Budget]],Table14195[[#Totals],[Budget]],Table10194[[#Totals],[Budget]],Table8193[[#Totals],[Budget]],Table7192[[#Totals],[Budget]],Table6191[[#Totals],[Budget]])</f>
        <v>0</v>
      </c>
      <c r="H6" s="25">
        <f>SUM(Table5190[[#Totals],[Actual]],Table20198[[#Totals],[Actual]],Table21199[[#Totals],[Actual]],Table19197[[#Totals],[Actual]],Table15196[[#Totals],[Actual]],Table14195[[#Totals],[Actual]],Table10194[[#Totals],[Actual]],Table8193[[#Totals],[Actual]],Table7192[[#Totals],[Actual]],Table6191[[#Totals],[Actual]])</f>
        <v>0</v>
      </c>
      <c r="I6" s="25">
        <f>G6-H6</f>
        <v>0</v>
      </c>
    </row>
    <row r="7" spans="1:9" ht="15" thickTop="1" x14ac:dyDescent="0.35">
      <c r="A7" s="4" t="s">
        <v>94</v>
      </c>
      <c r="B7" s="9"/>
      <c r="C7" s="9">
        <v>0</v>
      </c>
      <c r="D7" s="10">
        <f t="shared" si="0"/>
        <v>0</v>
      </c>
      <c r="E7" s="8"/>
      <c r="F7" s="29" t="s">
        <v>4</v>
      </c>
      <c r="G7" s="30">
        <f>G5-G6</f>
        <v>0</v>
      </c>
      <c r="H7" s="30">
        <f>H5-H6</f>
        <v>0</v>
      </c>
      <c r="I7" s="30">
        <f>H7-G7</f>
        <v>0</v>
      </c>
    </row>
    <row r="8" spans="1:9" s="2" customFormat="1" x14ac:dyDescent="0.35">
      <c r="A8" s="4" t="s">
        <v>121</v>
      </c>
      <c r="B8" s="9"/>
      <c r="C8" s="9"/>
      <c r="D8" s="10">
        <f t="shared" si="0"/>
        <v>0</v>
      </c>
      <c r="E8" s="11"/>
      <c r="F8" s="11"/>
      <c r="G8" s="11"/>
      <c r="H8" s="11"/>
      <c r="I8" s="11"/>
    </row>
    <row r="9" spans="1:9" x14ac:dyDescent="0.35">
      <c r="A9" s="4" t="s">
        <v>50</v>
      </c>
      <c r="B9" s="9"/>
      <c r="C9" s="9"/>
      <c r="D9" s="10">
        <f t="shared" si="0"/>
        <v>0</v>
      </c>
      <c r="E9" s="8"/>
      <c r="F9" s="11"/>
      <c r="G9" s="11"/>
      <c r="H9" s="11"/>
      <c r="I9" s="11"/>
    </row>
    <row r="10" spans="1:9" x14ac:dyDescent="0.35">
      <c r="A10" s="4" t="s">
        <v>47</v>
      </c>
      <c r="B10" s="9"/>
      <c r="C10" s="9"/>
      <c r="D10" s="10">
        <f t="shared" si="0"/>
        <v>0</v>
      </c>
      <c r="E10" s="8"/>
      <c r="F10" s="21" t="s">
        <v>26</v>
      </c>
      <c r="G10" s="22" t="s">
        <v>49</v>
      </c>
      <c r="H10" s="23" t="s">
        <v>0</v>
      </c>
      <c r="I10" s="23" t="s">
        <v>46</v>
      </c>
    </row>
    <row r="11" spans="1:9" x14ac:dyDescent="0.35">
      <c r="A11" s="4" t="s">
        <v>10</v>
      </c>
      <c r="B11" s="9"/>
      <c r="C11" s="9"/>
      <c r="D11" s="10">
        <f t="shared" si="0"/>
        <v>0</v>
      </c>
      <c r="E11" s="8"/>
      <c r="F11" s="4" t="s">
        <v>5</v>
      </c>
      <c r="G11" s="14"/>
      <c r="H11" s="14"/>
      <c r="I11" s="10">
        <f t="shared" ref="I11:I19" si="1">G11-H11</f>
        <v>0</v>
      </c>
    </row>
    <row r="12" spans="1:9" x14ac:dyDescent="0.35">
      <c r="A12" s="4" t="s">
        <v>77</v>
      </c>
      <c r="B12" s="12"/>
      <c r="C12" s="12">
        <v>0</v>
      </c>
      <c r="D12" s="10">
        <f>C12-B12</f>
        <v>0</v>
      </c>
      <c r="E12" s="8"/>
      <c r="F12" s="4" t="s">
        <v>69</v>
      </c>
      <c r="G12" s="14">
        <v>0</v>
      </c>
      <c r="H12" s="14"/>
      <c r="I12" s="10">
        <f t="shared" si="1"/>
        <v>0</v>
      </c>
    </row>
    <row r="13" spans="1:9" x14ac:dyDescent="0.35">
      <c r="A13" s="37" t="str">
        <f>"Total " &amp; Table2190[[#Headers],[INCOME]]</f>
        <v>Total INCOME</v>
      </c>
      <c r="B13" s="38">
        <f>SUBTOTAL(109,Table2190[Budget])</f>
        <v>0</v>
      </c>
      <c r="C13" s="38">
        <f>SUBTOTAL(109,Table2190[Actual])</f>
        <v>0</v>
      </c>
      <c r="D13" s="39">
        <f>SUBTOTAL(109,Table2190[Difference])</f>
        <v>0</v>
      </c>
      <c r="E13" s="8"/>
      <c r="F13" s="4" t="s">
        <v>92</v>
      </c>
      <c r="G13" s="14">
        <v>0</v>
      </c>
      <c r="H13" s="14">
        <v>0</v>
      </c>
      <c r="I13" s="10">
        <f t="shared" si="1"/>
        <v>0</v>
      </c>
    </row>
    <row r="14" spans="1:9" x14ac:dyDescent="0.35">
      <c r="A14" s="8"/>
      <c r="B14" s="8"/>
      <c r="C14" s="8"/>
      <c r="D14" s="8"/>
      <c r="E14" s="8"/>
      <c r="F14" s="4" t="s">
        <v>57</v>
      </c>
      <c r="G14" s="14"/>
      <c r="H14" s="14"/>
      <c r="I14" s="10">
        <f t="shared" si="1"/>
        <v>0</v>
      </c>
    </row>
    <row r="15" spans="1:9" x14ac:dyDescent="0.35">
      <c r="A15" s="21" t="s">
        <v>9</v>
      </c>
      <c r="B15" s="22" t="s">
        <v>49</v>
      </c>
      <c r="C15" s="23" t="s">
        <v>0</v>
      </c>
      <c r="D15" s="23" t="s">
        <v>46</v>
      </c>
      <c r="E15" s="8"/>
      <c r="F15" s="4" t="s">
        <v>58</v>
      </c>
      <c r="G15" s="14"/>
      <c r="H15" s="14"/>
      <c r="I15" s="10">
        <f t="shared" si="1"/>
        <v>0</v>
      </c>
    </row>
    <row r="16" spans="1:9" x14ac:dyDescent="0.35">
      <c r="A16" s="4" t="s">
        <v>63</v>
      </c>
      <c r="B16" s="9"/>
      <c r="C16" s="9"/>
      <c r="D16" s="10">
        <f>B16-C16</f>
        <v>0</v>
      </c>
      <c r="E16" s="8"/>
      <c r="F16" s="4" t="s">
        <v>40</v>
      </c>
      <c r="G16" s="14"/>
      <c r="H16" s="14"/>
      <c r="I16" s="10">
        <f t="shared" si="1"/>
        <v>0</v>
      </c>
    </row>
    <row r="17" spans="1:9" x14ac:dyDescent="0.35">
      <c r="A17" s="4" t="s">
        <v>66</v>
      </c>
      <c r="B17" s="9">
        <v>0</v>
      </c>
      <c r="C17" s="9">
        <v>0</v>
      </c>
      <c r="D17" s="10">
        <f t="shared" ref="D17:D28" si="2">B17-C17</f>
        <v>0</v>
      </c>
      <c r="E17" s="8"/>
      <c r="F17" s="4" t="s">
        <v>71</v>
      </c>
      <c r="G17" s="14">
        <v>0</v>
      </c>
      <c r="H17" s="14">
        <v>0</v>
      </c>
      <c r="I17" s="10">
        <f t="shared" si="1"/>
        <v>0</v>
      </c>
    </row>
    <row r="18" spans="1:9" x14ac:dyDescent="0.35">
      <c r="A18" s="4" t="s">
        <v>62</v>
      </c>
      <c r="B18" s="9"/>
      <c r="C18" s="9"/>
      <c r="D18" s="10">
        <f t="shared" si="2"/>
        <v>0</v>
      </c>
      <c r="E18" s="8"/>
      <c r="F18" s="4" t="s">
        <v>74</v>
      </c>
      <c r="G18" s="14">
        <v>0</v>
      </c>
      <c r="H18" s="14">
        <v>0</v>
      </c>
      <c r="I18" s="10">
        <f t="shared" si="1"/>
        <v>0</v>
      </c>
    </row>
    <row r="19" spans="1:9" x14ac:dyDescent="0.35">
      <c r="A19" s="4" t="s">
        <v>61</v>
      </c>
      <c r="B19" s="9">
        <v>0</v>
      </c>
      <c r="C19" s="9">
        <v>0</v>
      </c>
      <c r="D19" s="10">
        <f t="shared" si="2"/>
        <v>0</v>
      </c>
      <c r="E19" s="8"/>
      <c r="F19" s="4" t="s">
        <v>70</v>
      </c>
      <c r="G19" s="14">
        <v>0</v>
      </c>
      <c r="H19" s="14"/>
      <c r="I19" s="10">
        <f t="shared" si="1"/>
        <v>0</v>
      </c>
    </row>
    <row r="20" spans="1:9" s="5" customFormat="1" x14ac:dyDescent="0.35">
      <c r="A20" s="4" t="s">
        <v>64</v>
      </c>
      <c r="B20" s="9"/>
      <c r="C20" s="9"/>
      <c r="D20" s="10">
        <f t="shared" si="2"/>
        <v>0</v>
      </c>
      <c r="E20" s="8"/>
      <c r="F20" s="37" t="str">
        <f>"Total " &amp; Table6191[[#Headers],[DAILY LIVING]]</f>
        <v>Total DAILY LIVING</v>
      </c>
      <c r="G20" s="38">
        <f>SUBTOTAL(109,Table6191[Budget])</f>
        <v>0</v>
      </c>
      <c r="H20" s="38">
        <f>SUBTOTAL(109,Table6191[Actual])</f>
        <v>0</v>
      </c>
      <c r="I20" s="39">
        <f>SUBTOTAL(109,Table6191[Difference])</f>
        <v>0</v>
      </c>
    </row>
    <row r="21" spans="1:9" x14ac:dyDescent="0.35">
      <c r="A21" s="4" t="s">
        <v>118</v>
      </c>
      <c r="B21" s="9"/>
      <c r="C21" s="9"/>
      <c r="D21" s="10">
        <f t="shared" si="2"/>
        <v>0</v>
      </c>
      <c r="E21" s="8"/>
      <c r="F21" s="8"/>
      <c r="G21" s="17"/>
      <c r="H21" s="17"/>
      <c r="I21" s="17"/>
    </row>
    <row r="22" spans="1:9" x14ac:dyDescent="0.35">
      <c r="A22" s="4" t="s">
        <v>39</v>
      </c>
      <c r="B22" s="9">
        <v>0</v>
      </c>
      <c r="C22" s="9">
        <v>0</v>
      </c>
      <c r="D22" s="10">
        <f t="shared" si="2"/>
        <v>0</v>
      </c>
      <c r="E22" s="8"/>
      <c r="F22" s="21" t="s">
        <v>78</v>
      </c>
      <c r="G22" s="22" t="s">
        <v>49</v>
      </c>
      <c r="H22" s="23" t="s">
        <v>0</v>
      </c>
      <c r="I22" s="23" t="s">
        <v>46</v>
      </c>
    </row>
    <row r="23" spans="1:9" x14ac:dyDescent="0.35">
      <c r="A23" s="4" t="s">
        <v>65</v>
      </c>
      <c r="B23" s="9"/>
      <c r="C23" s="9"/>
      <c r="D23" s="10">
        <f t="shared" si="2"/>
        <v>0</v>
      </c>
      <c r="E23" s="8"/>
      <c r="F23" s="4" t="s">
        <v>93</v>
      </c>
      <c r="G23" s="14"/>
      <c r="H23" s="14"/>
      <c r="I23" s="10">
        <f t="shared" ref="I23:I36" si="3">G23-H23</f>
        <v>0</v>
      </c>
    </row>
    <row r="24" spans="1:9" ht="15" x14ac:dyDescent="0.35">
      <c r="A24" s="4" t="s">
        <v>38</v>
      </c>
      <c r="B24" s="44">
        <v>0</v>
      </c>
      <c r="C24" s="9">
        <v>0</v>
      </c>
      <c r="D24" s="10">
        <f t="shared" si="2"/>
        <v>0</v>
      </c>
      <c r="E24" s="8"/>
      <c r="F24" s="4"/>
      <c r="G24" s="14"/>
      <c r="H24" s="14"/>
      <c r="I24" s="10">
        <f t="shared" si="3"/>
        <v>0</v>
      </c>
    </row>
    <row r="25" spans="1:9" x14ac:dyDescent="0.35">
      <c r="A25" s="4" t="s">
        <v>37</v>
      </c>
      <c r="B25" s="9">
        <v>0</v>
      </c>
      <c r="C25" s="9">
        <v>0</v>
      </c>
      <c r="D25" s="10">
        <f>B25-C25</f>
        <v>0</v>
      </c>
      <c r="E25" s="8"/>
      <c r="F25" s="4"/>
      <c r="G25" s="14"/>
      <c r="H25" s="14"/>
      <c r="I25" s="10">
        <f t="shared" si="3"/>
        <v>0</v>
      </c>
    </row>
    <row r="26" spans="1:9" x14ac:dyDescent="0.35">
      <c r="A26" s="4" t="s">
        <v>73</v>
      </c>
      <c r="B26" s="9">
        <v>0</v>
      </c>
      <c r="C26" s="9">
        <v>0</v>
      </c>
      <c r="D26" s="10">
        <f t="shared" si="2"/>
        <v>0</v>
      </c>
      <c r="E26" s="8"/>
      <c r="F26" s="4" t="s">
        <v>21</v>
      </c>
      <c r="G26" s="14"/>
      <c r="H26" s="14"/>
      <c r="I26" s="10">
        <f t="shared" si="3"/>
        <v>0</v>
      </c>
    </row>
    <row r="27" spans="1:9" x14ac:dyDescent="0.35">
      <c r="A27" s="36" t="s">
        <v>75</v>
      </c>
      <c r="B27" s="9">
        <v>0</v>
      </c>
      <c r="C27" s="9">
        <v>0</v>
      </c>
      <c r="D27" s="10">
        <f t="shared" si="2"/>
        <v>0</v>
      </c>
      <c r="E27" s="8"/>
      <c r="F27" s="4" t="s">
        <v>41</v>
      </c>
      <c r="G27" s="14"/>
      <c r="H27" s="14"/>
      <c r="I27" s="10">
        <f t="shared" si="3"/>
        <v>0</v>
      </c>
    </row>
    <row r="28" spans="1:9" x14ac:dyDescent="0.35">
      <c r="A28" s="4" t="s">
        <v>10</v>
      </c>
      <c r="B28" s="14"/>
      <c r="C28" s="14"/>
      <c r="D28" s="10">
        <f t="shared" si="2"/>
        <v>0</v>
      </c>
      <c r="E28" s="8"/>
      <c r="F28" s="4" t="s">
        <v>42</v>
      </c>
      <c r="G28" s="14"/>
      <c r="H28" s="14"/>
      <c r="I28" s="10">
        <f t="shared" si="3"/>
        <v>0</v>
      </c>
    </row>
    <row r="29" spans="1:9" x14ac:dyDescent="0.35">
      <c r="A29" s="24" t="str">
        <f>"Total " &amp; Table5190[[#Headers],[HOME EXPENSES]]</f>
        <v>Total HOME EXPENSES</v>
      </c>
      <c r="B29" s="19">
        <f>SUBTOTAL(109,Table5190[Budget])</f>
        <v>0</v>
      </c>
      <c r="C29" s="19">
        <f>SUBTOTAL(109,Table5190[Actual])</f>
        <v>0</v>
      </c>
      <c r="D29" s="13">
        <f>SUBTOTAL(109,Table5190[Difference])</f>
        <v>0</v>
      </c>
      <c r="E29" s="8"/>
      <c r="F29" s="4"/>
      <c r="G29" s="14"/>
      <c r="H29" s="14"/>
      <c r="I29" s="10">
        <f t="shared" si="3"/>
        <v>0</v>
      </c>
    </row>
    <row r="30" spans="1:9" x14ac:dyDescent="0.35">
      <c r="A30" s="8"/>
      <c r="B30" s="17"/>
      <c r="C30" s="17"/>
      <c r="D30" s="17"/>
      <c r="E30" s="8"/>
      <c r="F30" s="4" t="s">
        <v>23</v>
      </c>
      <c r="G30" s="14"/>
      <c r="H30" s="14"/>
      <c r="I30" s="10">
        <f t="shared" si="3"/>
        <v>0</v>
      </c>
    </row>
    <row r="31" spans="1:9" x14ac:dyDescent="0.35">
      <c r="A31" s="21" t="s">
        <v>11</v>
      </c>
      <c r="B31" s="22" t="s">
        <v>49</v>
      </c>
      <c r="C31" s="23" t="s">
        <v>0</v>
      </c>
      <c r="D31" s="23" t="s">
        <v>46</v>
      </c>
      <c r="E31" s="8"/>
      <c r="F31" s="4" t="s">
        <v>43</v>
      </c>
      <c r="G31" s="14"/>
      <c r="H31" s="14"/>
      <c r="I31" s="10">
        <f t="shared" si="3"/>
        <v>0</v>
      </c>
    </row>
    <row r="32" spans="1:9" x14ac:dyDescent="0.35">
      <c r="A32" s="4" t="s">
        <v>12</v>
      </c>
      <c r="B32" s="14">
        <v>0</v>
      </c>
      <c r="C32" s="14">
        <v>0</v>
      </c>
      <c r="D32" s="10">
        <f>B32-C32</f>
        <v>0</v>
      </c>
      <c r="E32" s="8"/>
      <c r="F32" s="4" t="s">
        <v>24</v>
      </c>
      <c r="G32" s="14"/>
      <c r="H32" s="14"/>
      <c r="I32" s="10">
        <f t="shared" si="3"/>
        <v>0</v>
      </c>
    </row>
    <row r="33" spans="1:9" x14ac:dyDescent="0.35">
      <c r="A33" s="4" t="s">
        <v>52</v>
      </c>
      <c r="B33" s="14"/>
      <c r="C33" s="14"/>
      <c r="D33" s="10">
        <f t="shared" ref="D33:D38" si="4">B33-C33</f>
        <v>0</v>
      </c>
      <c r="E33" s="8"/>
      <c r="F33" s="4" t="s">
        <v>22</v>
      </c>
      <c r="G33" s="14"/>
      <c r="H33" s="14"/>
      <c r="I33" s="10">
        <f t="shared" si="3"/>
        <v>0</v>
      </c>
    </row>
    <row r="34" spans="1:9" x14ac:dyDescent="0.35">
      <c r="A34" s="4" t="s">
        <v>13</v>
      </c>
      <c r="B34" s="14"/>
      <c r="C34" s="14"/>
      <c r="D34" s="10">
        <f>B34-C34</f>
        <v>0</v>
      </c>
      <c r="E34" s="8"/>
      <c r="F34" s="4" t="s">
        <v>44</v>
      </c>
      <c r="G34" s="14"/>
      <c r="H34" s="14"/>
      <c r="I34" s="10">
        <f t="shared" si="3"/>
        <v>0</v>
      </c>
    </row>
    <row r="35" spans="1:9" x14ac:dyDescent="0.35">
      <c r="A35" s="4" t="s">
        <v>35</v>
      </c>
      <c r="B35" s="14"/>
      <c r="C35" s="14"/>
      <c r="D35" s="10">
        <f t="shared" si="4"/>
        <v>0</v>
      </c>
      <c r="E35" s="8"/>
      <c r="F35" s="4" t="s">
        <v>59</v>
      </c>
      <c r="G35" s="14"/>
      <c r="H35" s="14">
        <v>0</v>
      </c>
      <c r="I35" s="10">
        <f t="shared" si="3"/>
        <v>0</v>
      </c>
    </row>
    <row r="36" spans="1:9" x14ac:dyDescent="0.35">
      <c r="A36" s="4" t="s">
        <v>14</v>
      </c>
      <c r="B36" s="14"/>
      <c r="C36" s="14"/>
      <c r="D36" s="10">
        <f t="shared" si="4"/>
        <v>0</v>
      </c>
      <c r="E36" s="8"/>
      <c r="F36" s="4" t="s">
        <v>76</v>
      </c>
      <c r="G36" s="14"/>
      <c r="H36" s="14">
        <v>0</v>
      </c>
      <c r="I36" s="10">
        <f t="shared" si="3"/>
        <v>0</v>
      </c>
    </row>
    <row r="37" spans="1:9" x14ac:dyDescent="0.35">
      <c r="A37" s="4" t="s">
        <v>36</v>
      </c>
      <c r="B37" s="14"/>
      <c r="C37" s="14"/>
      <c r="D37" s="10">
        <f t="shared" si="4"/>
        <v>0</v>
      </c>
      <c r="E37" s="8"/>
      <c r="F37" s="37" t="str">
        <f>"Total " &amp; Table7192[[#Headers],[Entertainment]]</f>
        <v>Total Entertainment</v>
      </c>
      <c r="G37" s="38">
        <f>SUBTOTAL(109,Table7192[Budget])</f>
        <v>0</v>
      </c>
      <c r="H37" s="38">
        <f>SUBTOTAL(109,Table7192[Actual])</f>
        <v>0</v>
      </c>
      <c r="I37" s="39">
        <f>SUBTOTAL(109,Table7192[Difference])</f>
        <v>0</v>
      </c>
    </row>
    <row r="38" spans="1:9" x14ac:dyDescent="0.35">
      <c r="A38" s="4" t="s">
        <v>10</v>
      </c>
      <c r="B38" s="14">
        <v>0</v>
      </c>
      <c r="C38" s="14"/>
      <c r="D38" s="10">
        <f t="shared" si="4"/>
        <v>0</v>
      </c>
      <c r="E38" s="8"/>
      <c r="F38" s="8"/>
      <c r="G38" s="17"/>
      <c r="H38" s="17"/>
      <c r="I38" s="17"/>
    </row>
    <row r="39" spans="1:9" x14ac:dyDescent="0.35">
      <c r="A39" s="24" t="str">
        <f>"Total " &amp; Table20198[[#Headers],[TRANSPORTATION]]</f>
        <v>Total TRANSPORTATION</v>
      </c>
      <c r="B39" s="19">
        <f>SUBTOTAL(109,Table20198[Budget])</f>
        <v>0</v>
      </c>
      <c r="C39" s="19">
        <f>SUBTOTAL(109,Table20198[Actual])</f>
        <v>0</v>
      </c>
      <c r="D39" s="13">
        <f>SUBTOTAL(109,Table20198[Difference])</f>
        <v>0</v>
      </c>
      <c r="E39" s="8"/>
      <c r="F39" s="21" t="s">
        <v>32</v>
      </c>
      <c r="G39" s="22" t="s">
        <v>49</v>
      </c>
      <c r="H39" s="23" t="s">
        <v>0</v>
      </c>
      <c r="I39" s="23" t="s">
        <v>46</v>
      </c>
    </row>
    <row r="40" spans="1:9" x14ac:dyDescent="0.35">
      <c r="A40" s="8"/>
      <c r="B40" s="17"/>
      <c r="C40" s="17"/>
      <c r="D40" s="17"/>
      <c r="E40" s="8"/>
      <c r="F40" s="4" t="s">
        <v>29</v>
      </c>
      <c r="G40" s="14"/>
      <c r="H40" s="14"/>
      <c r="I40" s="10">
        <f>G40-H40</f>
        <v>0</v>
      </c>
    </row>
    <row r="41" spans="1:9" x14ac:dyDescent="0.35">
      <c r="A41" s="21" t="s">
        <v>15</v>
      </c>
      <c r="B41" s="22" t="s">
        <v>49</v>
      </c>
      <c r="C41" s="23" t="s">
        <v>0</v>
      </c>
      <c r="D41" s="23" t="s">
        <v>46</v>
      </c>
      <c r="E41" s="8"/>
      <c r="F41" s="4" t="s">
        <v>30</v>
      </c>
      <c r="G41" s="14"/>
      <c r="H41" s="14"/>
      <c r="I41" s="10">
        <f t="shared" ref="I41:I42" si="5">G41-H41</f>
        <v>0</v>
      </c>
    </row>
    <row r="42" spans="1:9" x14ac:dyDescent="0.35">
      <c r="A42" s="4" t="s">
        <v>53</v>
      </c>
      <c r="B42" s="14"/>
      <c r="C42" s="14"/>
      <c r="D42" s="10">
        <f t="shared" ref="D42:D48" si="6">B42-C42</f>
        <v>0</v>
      </c>
      <c r="E42" s="8"/>
      <c r="F42" s="4" t="s">
        <v>33</v>
      </c>
      <c r="G42" s="14"/>
      <c r="H42" s="14"/>
      <c r="I42" s="10">
        <f t="shared" si="5"/>
        <v>0</v>
      </c>
    </row>
    <row r="43" spans="1:9" x14ac:dyDescent="0.35">
      <c r="A43" s="4" t="s">
        <v>16</v>
      </c>
      <c r="B43" s="14">
        <v>0</v>
      </c>
      <c r="C43" s="14">
        <v>0</v>
      </c>
      <c r="D43" s="10">
        <f t="shared" si="6"/>
        <v>0</v>
      </c>
      <c r="E43" s="8"/>
      <c r="F43" s="4" t="s">
        <v>31</v>
      </c>
      <c r="G43" s="14"/>
      <c r="H43" s="14"/>
      <c r="I43" s="10">
        <f>G43-H43</f>
        <v>0</v>
      </c>
    </row>
    <row r="44" spans="1:9" x14ac:dyDescent="0.35">
      <c r="A44" s="4" t="s">
        <v>17</v>
      </c>
      <c r="B44" s="14"/>
      <c r="C44" s="14"/>
      <c r="D44" s="10">
        <f t="shared" si="6"/>
        <v>0</v>
      </c>
      <c r="E44" s="8"/>
      <c r="F44" s="4" t="s">
        <v>60</v>
      </c>
      <c r="G44" s="14"/>
      <c r="H44" s="14"/>
      <c r="I44" s="10">
        <f>G44-H44</f>
        <v>0</v>
      </c>
    </row>
    <row r="45" spans="1:9" x14ac:dyDescent="0.35">
      <c r="A45" s="4" t="s">
        <v>18</v>
      </c>
      <c r="B45" s="14">
        <v>0</v>
      </c>
      <c r="C45" s="14">
        <v>0</v>
      </c>
      <c r="D45" s="10">
        <f t="shared" si="6"/>
        <v>0</v>
      </c>
      <c r="E45" s="8"/>
      <c r="F45" s="4" t="s">
        <v>10</v>
      </c>
      <c r="G45" s="14"/>
      <c r="H45" s="14"/>
      <c r="I45" s="10">
        <f>G45-H45</f>
        <v>0</v>
      </c>
    </row>
    <row r="46" spans="1:9" x14ac:dyDescent="0.35">
      <c r="A46" s="4" t="s">
        <v>54</v>
      </c>
      <c r="B46" s="14"/>
      <c r="C46" s="14"/>
      <c r="D46" s="10">
        <f t="shared" si="6"/>
        <v>0</v>
      </c>
      <c r="E46" s="8"/>
      <c r="F46" s="24" t="str">
        <f>"Total " &amp; Table8193[[#Headers],[SAVINGS]]</f>
        <v>Total SAVINGS</v>
      </c>
      <c r="G46" s="19">
        <f>SUBTOTAL(109,Table8193[Budget])</f>
        <v>0</v>
      </c>
      <c r="H46" s="19">
        <f>SUBTOTAL(109,Table8193[Actual])</f>
        <v>0</v>
      </c>
      <c r="I46" s="13">
        <f>SUBTOTAL(109,Table8193[Difference])</f>
        <v>0</v>
      </c>
    </row>
    <row r="47" spans="1:9" x14ac:dyDescent="0.35">
      <c r="A47" s="4" t="s">
        <v>55</v>
      </c>
      <c r="B47" s="14"/>
      <c r="C47" s="14"/>
      <c r="D47" s="10">
        <f t="shared" si="6"/>
        <v>0</v>
      </c>
      <c r="E47" s="8"/>
      <c r="F47" s="8"/>
      <c r="G47" s="17"/>
      <c r="H47" s="17"/>
      <c r="I47" s="17"/>
    </row>
    <row r="48" spans="1:9" x14ac:dyDescent="0.35">
      <c r="A48" s="4" t="s">
        <v>10</v>
      </c>
      <c r="B48" s="14"/>
      <c r="C48" s="14"/>
      <c r="D48" s="10">
        <f t="shared" si="6"/>
        <v>0</v>
      </c>
      <c r="E48" s="8"/>
      <c r="F48" s="21" t="s">
        <v>34</v>
      </c>
      <c r="G48" s="22" t="s">
        <v>49</v>
      </c>
      <c r="H48" s="23" t="s">
        <v>0</v>
      </c>
      <c r="I48" s="23" t="s">
        <v>46</v>
      </c>
    </row>
    <row r="49" spans="1:9" x14ac:dyDescent="0.35">
      <c r="A49" s="24" t="str">
        <f>"Total " &amp; Table21199[[#Headers],[HEALTH]]</f>
        <v>Total HEALTH</v>
      </c>
      <c r="B49" s="19">
        <f>SUBTOTAL(109,Table21199[Budget])</f>
        <v>0</v>
      </c>
      <c r="C49" s="19">
        <f>SUBTOTAL(109,Table21199[Actual])</f>
        <v>0</v>
      </c>
      <c r="D49" s="13">
        <f>SUBTOTAL(109,Table21199[Difference])</f>
        <v>0</v>
      </c>
      <c r="E49" s="8"/>
      <c r="F49" s="4" t="s">
        <v>114</v>
      </c>
      <c r="G49" s="14">
        <v>0</v>
      </c>
      <c r="H49" s="14"/>
      <c r="I49" s="10">
        <f t="shared" ref="I49:I55" si="7">G49-H49</f>
        <v>0</v>
      </c>
    </row>
    <row r="50" spans="1:9" x14ac:dyDescent="0.35">
      <c r="A50" s="8"/>
      <c r="B50" s="17"/>
      <c r="C50" s="17"/>
      <c r="D50" s="17"/>
      <c r="E50" s="8"/>
      <c r="F50" s="4" t="s">
        <v>114</v>
      </c>
      <c r="G50" s="14">
        <v>0</v>
      </c>
      <c r="H50" s="14">
        <v>0</v>
      </c>
      <c r="I50" s="10">
        <f t="shared" si="7"/>
        <v>0</v>
      </c>
    </row>
    <row r="51" spans="1:9" x14ac:dyDescent="0.35">
      <c r="A51" s="21" t="s">
        <v>45</v>
      </c>
      <c r="B51" s="22" t="s">
        <v>49</v>
      </c>
      <c r="C51" s="23" t="s">
        <v>0</v>
      </c>
      <c r="D51" s="23" t="s">
        <v>46</v>
      </c>
      <c r="E51" s="8"/>
      <c r="F51" s="4" t="s">
        <v>114</v>
      </c>
      <c r="G51" s="14">
        <v>0</v>
      </c>
      <c r="H51" s="14">
        <v>0</v>
      </c>
      <c r="I51" s="10">
        <f t="shared" si="7"/>
        <v>0</v>
      </c>
    </row>
    <row r="52" spans="1:9" x14ac:dyDescent="0.35">
      <c r="A52" s="4" t="s">
        <v>6</v>
      </c>
      <c r="B52" s="14"/>
      <c r="C52" s="14"/>
      <c r="D52" s="10">
        <f t="shared" ref="D52:D55" si="8">B52-C52</f>
        <v>0</v>
      </c>
      <c r="E52" s="8"/>
      <c r="F52" s="4" t="s">
        <v>115</v>
      </c>
      <c r="G52" s="14">
        <v>0</v>
      </c>
      <c r="H52" s="14">
        <v>0</v>
      </c>
      <c r="I52" s="10">
        <f t="shared" si="7"/>
        <v>0</v>
      </c>
    </row>
    <row r="53" spans="1:9" x14ac:dyDescent="0.35">
      <c r="A53" s="4" t="s">
        <v>27</v>
      </c>
      <c r="B53" s="14"/>
      <c r="C53" s="14"/>
      <c r="D53" s="10">
        <f t="shared" si="8"/>
        <v>0</v>
      </c>
      <c r="E53" s="8"/>
      <c r="F53" s="4" t="s">
        <v>115</v>
      </c>
      <c r="G53" s="14">
        <v>0</v>
      </c>
      <c r="H53" s="14">
        <v>0</v>
      </c>
      <c r="I53" s="10">
        <f t="shared" si="7"/>
        <v>0</v>
      </c>
    </row>
    <row r="54" spans="1:9" x14ac:dyDescent="0.35">
      <c r="A54" s="4" t="s">
        <v>28</v>
      </c>
      <c r="B54" s="14"/>
      <c r="C54" s="14"/>
      <c r="D54" s="10">
        <f t="shared" si="8"/>
        <v>0</v>
      </c>
      <c r="E54" s="8"/>
      <c r="F54" s="4" t="s">
        <v>116</v>
      </c>
      <c r="G54" s="14">
        <v>0</v>
      </c>
      <c r="H54" s="14">
        <v>0</v>
      </c>
      <c r="I54" s="10">
        <f t="shared" si="7"/>
        <v>0</v>
      </c>
    </row>
    <row r="55" spans="1:9" x14ac:dyDescent="0.35">
      <c r="A55" s="4" t="s">
        <v>10</v>
      </c>
      <c r="B55" s="14"/>
      <c r="C55" s="14"/>
      <c r="D55" s="10">
        <f t="shared" si="8"/>
        <v>0</v>
      </c>
      <c r="E55" s="8"/>
      <c r="F55" s="4" t="s">
        <v>131</v>
      </c>
      <c r="G55" s="14">
        <v>0</v>
      </c>
      <c r="H55" s="14">
        <v>0</v>
      </c>
      <c r="I55" s="10">
        <f t="shared" si="7"/>
        <v>0</v>
      </c>
    </row>
    <row r="56" spans="1:9" x14ac:dyDescent="0.35">
      <c r="A56" s="24" t="str">
        <f>"Total " &amp; Table19197[[#Headers],[CHARITY/GIFTS]]</f>
        <v>Total CHARITY/GIFTS</v>
      </c>
      <c r="B56" s="19">
        <f>SUBTOTAL(109,Table19197[Budget])</f>
        <v>0</v>
      </c>
      <c r="C56" s="19">
        <f>SUBTOTAL(109,Table19197[Actual])</f>
        <v>0</v>
      </c>
      <c r="D56" s="13">
        <f>SUBTOTAL(109,Table19197[Difference])</f>
        <v>0</v>
      </c>
      <c r="E56" s="8"/>
      <c r="F56" s="37" t="str">
        <f>"Total " &amp; Table10194[[#Headers],[OBLIGATIONS]]</f>
        <v>Total OBLIGATIONS</v>
      </c>
      <c r="G56" s="38">
        <f>SUBTOTAL(109,Table10194[Budget])</f>
        <v>0</v>
      </c>
      <c r="H56" s="38">
        <f>SUBTOTAL(109,Table10194[Actual])</f>
        <v>0</v>
      </c>
      <c r="I56" s="39">
        <f>SUBTOTAL(109,Table10194[Difference])</f>
        <v>0</v>
      </c>
    </row>
    <row r="57" spans="1:9" x14ac:dyDescent="0.35">
      <c r="A57" s="8"/>
      <c r="B57" s="17"/>
      <c r="C57" s="17"/>
      <c r="D57" s="17"/>
      <c r="E57" s="8"/>
      <c r="F57" s="8"/>
      <c r="G57" s="17"/>
      <c r="H57" s="17"/>
      <c r="I57" s="17"/>
    </row>
    <row r="58" spans="1:9" x14ac:dyDescent="0.35">
      <c r="A58" s="21" t="s">
        <v>25</v>
      </c>
      <c r="B58" s="22" t="s">
        <v>49</v>
      </c>
      <c r="C58" s="23" t="s">
        <v>0</v>
      </c>
      <c r="D58" s="23" t="s">
        <v>46</v>
      </c>
      <c r="E58" s="8"/>
      <c r="F58" s="21" t="s">
        <v>8</v>
      </c>
      <c r="G58" s="22" t="s">
        <v>49</v>
      </c>
      <c r="H58" s="23" t="s">
        <v>0</v>
      </c>
      <c r="I58" s="23" t="s">
        <v>46</v>
      </c>
    </row>
    <row r="59" spans="1:9" x14ac:dyDescent="0.35">
      <c r="A59" s="4" t="s">
        <v>19</v>
      </c>
      <c r="B59" s="14"/>
      <c r="C59" s="14"/>
      <c r="D59" s="10">
        <f t="shared" ref="D59:D62" si="9">B59-C59</f>
        <v>0</v>
      </c>
      <c r="E59" s="8"/>
      <c r="F59" s="4" t="s">
        <v>68</v>
      </c>
      <c r="G59" s="9"/>
      <c r="H59" s="9"/>
      <c r="I59" s="10">
        <f t="shared" ref="I59:I62" si="10">G59-H59</f>
        <v>0</v>
      </c>
    </row>
    <row r="60" spans="1:9" x14ac:dyDescent="0.35">
      <c r="A60" s="4" t="s">
        <v>101</v>
      </c>
      <c r="B60" s="14"/>
      <c r="C60" s="14">
        <v>0</v>
      </c>
      <c r="D60" s="10">
        <f t="shared" si="9"/>
        <v>0</v>
      </c>
      <c r="E60" s="8"/>
      <c r="F60" s="4" t="s">
        <v>72</v>
      </c>
      <c r="G60" s="9"/>
      <c r="H60" s="9">
        <v>0</v>
      </c>
      <c r="I60" s="10">
        <f t="shared" si="10"/>
        <v>0</v>
      </c>
    </row>
    <row r="61" spans="1:9" x14ac:dyDescent="0.35">
      <c r="A61" s="4" t="s">
        <v>56</v>
      </c>
      <c r="B61" s="14"/>
      <c r="C61" s="14"/>
      <c r="D61" s="10">
        <f t="shared" si="9"/>
        <v>0</v>
      </c>
      <c r="E61" s="8"/>
      <c r="F61" s="4" t="s">
        <v>67</v>
      </c>
      <c r="G61" s="9"/>
      <c r="H61" s="9">
        <v>0</v>
      </c>
      <c r="I61" s="10">
        <f t="shared" si="10"/>
        <v>0</v>
      </c>
    </row>
    <row r="62" spans="1:9" x14ac:dyDescent="0.35">
      <c r="A62" s="4" t="s">
        <v>10</v>
      </c>
      <c r="B62" s="14"/>
      <c r="C62" s="14"/>
      <c r="D62" s="10">
        <f t="shared" si="9"/>
        <v>0</v>
      </c>
      <c r="E62" s="8"/>
      <c r="F62" s="4" t="s">
        <v>10</v>
      </c>
      <c r="G62" s="14"/>
      <c r="H62" s="14"/>
      <c r="I62" s="10">
        <f t="shared" si="10"/>
        <v>0</v>
      </c>
    </row>
    <row r="63" spans="1:9" x14ac:dyDescent="0.35">
      <c r="A63" s="24" t="str">
        <f>"Total " &amp; Table15196[[#Headers],[SUBSCRIPTIONS]]</f>
        <v>Total SUBSCRIPTIONS</v>
      </c>
      <c r="B63" s="19">
        <f>SUBTOTAL(109,Table15196[Budget])</f>
        <v>0</v>
      </c>
      <c r="C63" s="19">
        <f>SUBTOTAL(109,Table15196[Actual])</f>
        <v>0</v>
      </c>
      <c r="D63" s="13">
        <f>SUBTOTAL(109,Table15196[Difference])</f>
        <v>0</v>
      </c>
      <c r="E63" s="8"/>
      <c r="F63" s="24" t="str">
        <f>"Total " &amp; Table14195[[#Headers],[MISCELLANEOUS]]</f>
        <v>Total MISCELLANEOUS</v>
      </c>
      <c r="G63" s="19">
        <f>SUBTOTAL(109,Table14195[Budget])</f>
        <v>0</v>
      </c>
      <c r="H63" s="19">
        <f>SUBTOTAL(109,Table14195[Actual])</f>
        <v>0</v>
      </c>
      <c r="I63" s="13">
        <f>SUBTOTAL(109,Table14195[Difference])</f>
        <v>0</v>
      </c>
    </row>
    <row r="64" spans="1:9" x14ac:dyDescent="0.35">
      <c r="E64" s="8"/>
      <c r="F64" s="7"/>
    </row>
    <row r="65" spans="5:6" x14ac:dyDescent="0.35">
      <c r="E65" s="8"/>
      <c r="F65" s="7"/>
    </row>
    <row r="66" spans="5:6" x14ac:dyDescent="0.35">
      <c r="E66" s="8"/>
      <c r="F66" s="7"/>
    </row>
    <row r="67" spans="5:6" x14ac:dyDescent="0.35">
      <c r="E67" s="8"/>
      <c r="F67" s="7"/>
    </row>
    <row r="68" spans="5:6" x14ac:dyDescent="0.35">
      <c r="E68" s="8"/>
      <c r="F68" s="7"/>
    </row>
    <row r="69" spans="5:6" x14ac:dyDescent="0.35">
      <c r="E69" s="8"/>
      <c r="F69" s="7"/>
    </row>
    <row r="70" spans="5:6" x14ac:dyDescent="0.35">
      <c r="E70" s="8"/>
    </row>
    <row r="71" spans="5:6" x14ac:dyDescent="0.35">
      <c r="E71" s="8"/>
    </row>
    <row r="72" spans="5:6" x14ac:dyDescent="0.35">
      <c r="E72" s="8"/>
      <c r="F72" s="7"/>
    </row>
    <row r="73" spans="5:6" x14ac:dyDescent="0.35">
      <c r="E73" s="8"/>
      <c r="F73" s="7"/>
    </row>
    <row r="74" spans="5:6" x14ac:dyDescent="0.35">
      <c r="E74" s="15"/>
      <c r="F74" s="7"/>
    </row>
    <row r="75" spans="5:6" x14ac:dyDescent="0.35">
      <c r="E75" s="16"/>
      <c r="F75" s="7"/>
    </row>
    <row r="76" spans="5:6" x14ac:dyDescent="0.35">
      <c r="E76" s="16"/>
      <c r="F76" s="7"/>
    </row>
    <row r="77" spans="5:6" x14ac:dyDescent="0.35">
      <c r="E77" s="16"/>
      <c r="F77" s="7"/>
    </row>
    <row r="78" spans="5:6" x14ac:dyDescent="0.35">
      <c r="E78" s="16"/>
      <c r="F78" s="7"/>
    </row>
    <row r="79" spans="5:6" x14ac:dyDescent="0.35">
      <c r="E79" s="8"/>
      <c r="F79" s="7"/>
    </row>
    <row r="80" spans="5:6" x14ac:dyDescent="0.35">
      <c r="E80" s="15"/>
      <c r="F80" s="7"/>
    </row>
    <row r="81" spans="5:6" x14ac:dyDescent="0.35">
      <c r="E81" s="16"/>
      <c r="F81" s="7"/>
    </row>
    <row r="82" spans="5:6" x14ac:dyDescent="0.35">
      <c r="E82" s="16"/>
    </row>
    <row r="83" spans="5:6" x14ac:dyDescent="0.35">
      <c r="E83" s="16"/>
    </row>
    <row r="84" spans="5:6" x14ac:dyDescent="0.35">
      <c r="E84" s="20" t="s">
        <v>48</v>
      </c>
    </row>
    <row r="85" spans="5:6" x14ac:dyDescent="0.35">
      <c r="E85" s="16"/>
    </row>
    <row r="86" spans="5:6" x14ac:dyDescent="0.35">
      <c r="E86" s="16"/>
    </row>
    <row r="87" spans="5:6" x14ac:dyDescent="0.35">
      <c r="E87" s="16"/>
    </row>
    <row r="88" spans="5:6" x14ac:dyDescent="0.35">
      <c r="E88" s="16"/>
    </row>
    <row r="89" spans="5:6" x14ac:dyDescent="0.35">
      <c r="E89" s="16"/>
    </row>
    <row r="90" spans="5:6" x14ac:dyDescent="0.35">
      <c r="E90" s="8"/>
    </row>
    <row r="91" spans="5:6" x14ac:dyDescent="0.35">
      <c r="E91" s="15"/>
    </row>
    <row r="92" spans="5:6" x14ac:dyDescent="0.35">
      <c r="E92" s="7"/>
    </row>
    <row r="93" spans="5:6" x14ac:dyDescent="0.35">
      <c r="E93" s="7"/>
    </row>
    <row r="94" spans="5:6" x14ac:dyDescent="0.35">
      <c r="E94" s="7"/>
    </row>
    <row r="95" spans="5:6" x14ac:dyDescent="0.35">
      <c r="E95" s="7"/>
    </row>
    <row r="96" spans="5:6" x14ac:dyDescent="0.35">
      <c r="E96" s="7"/>
    </row>
    <row r="97" spans="5:5" x14ac:dyDescent="0.35">
      <c r="E97" s="7"/>
    </row>
    <row r="98" spans="5:5" x14ac:dyDescent="0.35">
      <c r="E98" s="7"/>
    </row>
    <row r="99" spans="5:5" x14ac:dyDescent="0.35">
      <c r="E99" s="7"/>
    </row>
    <row r="100" spans="5:5" x14ac:dyDescent="0.35">
      <c r="E100" s="7"/>
    </row>
    <row r="101" spans="5:5" x14ac:dyDescent="0.35">
      <c r="E101" s="7"/>
    </row>
    <row r="122" spans="6:6" x14ac:dyDescent="0.35">
      <c r="F122" s="7"/>
    </row>
    <row r="123" spans="6:6" x14ac:dyDescent="0.35">
      <c r="F123" s="7"/>
    </row>
    <row r="124" spans="6:6" x14ac:dyDescent="0.35">
      <c r="F124" s="7"/>
    </row>
    <row r="125" spans="6:6" x14ac:dyDescent="0.35">
      <c r="F125" s="7"/>
    </row>
    <row r="126" spans="6:6" x14ac:dyDescent="0.35">
      <c r="F126" s="7"/>
    </row>
    <row r="127" spans="6:6" x14ac:dyDescent="0.35">
      <c r="F127" s="7"/>
    </row>
    <row r="128" spans="6:6" x14ac:dyDescent="0.35">
      <c r="F128" s="7"/>
    </row>
    <row r="131" spans="5:6" x14ac:dyDescent="0.35">
      <c r="F131" s="7"/>
    </row>
    <row r="132" spans="5:6" x14ac:dyDescent="0.35">
      <c r="F132" s="7"/>
    </row>
    <row r="133" spans="5:6" x14ac:dyDescent="0.35">
      <c r="F133" s="7"/>
    </row>
    <row r="134" spans="5:6" x14ac:dyDescent="0.35">
      <c r="F134" s="7"/>
    </row>
    <row r="135" spans="5:6" x14ac:dyDescent="0.35">
      <c r="F135" s="7"/>
    </row>
    <row r="136" spans="5:6" x14ac:dyDescent="0.35">
      <c r="F136" s="7"/>
    </row>
    <row r="137" spans="5:6" x14ac:dyDescent="0.35">
      <c r="F137" s="7"/>
    </row>
    <row r="141" spans="5:6" x14ac:dyDescent="0.35">
      <c r="E141" s="6"/>
    </row>
    <row r="142" spans="5:6" x14ac:dyDescent="0.35">
      <c r="E142" s="7"/>
    </row>
    <row r="143" spans="5:6" x14ac:dyDescent="0.35">
      <c r="E143" s="7"/>
    </row>
    <row r="144" spans="5:6" x14ac:dyDescent="0.35">
      <c r="E144" s="7"/>
    </row>
    <row r="145" spans="5:5" x14ac:dyDescent="0.35">
      <c r="E145" s="7"/>
    </row>
    <row r="146" spans="5:5" x14ac:dyDescent="0.35">
      <c r="E146" s="7"/>
    </row>
    <row r="147" spans="5:5" x14ac:dyDescent="0.35">
      <c r="E147" s="7"/>
    </row>
    <row r="148" spans="5:5" x14ac:dyDescent="0.35">
      <c r="E148" s="7"/>
    </row>
    <row r="150" spans="5:5" x14ac:dyDescent="0.35">
      <c r="E150" s="6"/>
    </row>
    <row r="151" spans="5:5" x14ac:dyDescent="0.35">
      <c r="E151" s="7"/>
    </row>
    <row r="152" spans="5:5" x14ac:dyDescent="0.35">
      <c r="E152" s="7"/>
    </row>
    <row r="153" spans="5:5" x14ac:dyDescent="0.35">
      <c r="E153" s="7"/>
    </row>
    <row r="154" spans="5:5" x14ac:dyDescent="0.35">
      <c r="E154" s="7"/>
    </row>
    <row r="155" spans="5:5" x14ac:dyDescent="0.35">
      <c r="E155" s="7"/>
    </row>
    <row r="156" spans="5:5" x14ac:dyDescent="0.35">
      <c r="E156" s="7"/>
    </row>
    <row r="157" spans="5:5" x14ac:dyDescent="0.35">
      <c r="E157" s="7"/>
    </row>
  </sheetData>
  <mergeCells count="1">
    <mergeCell ref="H2:I2"/>
  </mergeCells>
  <conditionalFormatting sqref="D32:D38 D52:D55 D59:D62 D16:D28 I49:I55 D5:D13 D42:D48 I11:I19 I23:I36 I40:I45 I59:I62">
    <cfRule type="cellIs" dxfId="1066" priority="2" stopIfTrue="1" operator="lessThan">
      <formula>0</formula>
    </cfRule>
  </conditionalFormatting>
  <conditionalFormatting sqref="I5">
    <cfRule type="expression" dxfId="1065" priority="1">
      <formula>IF(,,H5&gt;G5)</formula>
    </cfRule>
  </conditionalFormatting>
  <pageMargins left="0.7" right="0.7" top="0.75" bottom="0.75" header="0.3" footer="0.3"/>
  <tableParts count="11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7"/>
  <sheetViews>
    <sheetView showGridLines="0" workbookViewId="0">
      <selection activeCell="C23" sqref="C23"/>
    </sheetView>
  </sheetViews>
  <sheetFormatPr defaultColWidth="9" defaultRowHeight="14.4" x14ac:dyDescent="0.35"/>
  <cols>
    <col min="1" max="1" width="25.3984375" style="1" customWidth="1"/>
    <col min="2" max="3" width="9.59765625" style="1" customWidth="1"/>
    <col min="4" max="4" width="10" style="1" bestFit="1" customWidth="1"/>
    <col min="5" max="5" width="2.59765625" style="1" customWidth="1"/>
    <col min="6" max="6" width="21.5" style="1" customWidth="1"/>
    <col min="7" max="8" width="9.59765625" style="1" customWidth="1"/>
    <col min="9" max="9" width="11.09765625" style="1" customWidth="1"/>
    <col min="10" max="16384" width="9" style="1"/>
  </cols>
  <sheetData>
    <row r="1" spans="1:9" ht="26.1" customHeight="1" x14ac:dyDescent="0.35">
      <c r="A1" s="34" t="s">
        <v>82</v>
      </c>
      <c r="B1" s="34"/>
      <c r="C1" s="34"/>
      <c r="D1" s="34"/>
      <c r="E1" s="34"/>
      <c r="F1" s="34"/>
      <c r="G1" s="34"/>
      <c r="H1" s="34"/>
      <c r="I1" s="34"/>
    </row>
    <row r="2" spans="1:9" s="2" customFormat="1" ht="13.8" x14ac:dyDescent="0.3">
      <c r="A2" s="35"/>
      <c r="B2" s="33"/>
      <c r="C2" s="33"/>
      <c r="D2" s="33"/>
      <c r="E2" s="31"/>
      <c r="F2" s="31"/>
      <c r="G2" s="32"/>
      <c r="H2" s="47"/>
      <c r="I2" s="47"/>
    </row>
    <row r="3" spans="1:9" s="2" customFormat="1" ht="12" x14ac:dyDescent="0.3">
      <c r="E3" s="3"/>
    </row>
    <row r="4" spans="1:9" x14ac:dyDescent="0.35">
      <c r="A4" s="21" t="s">
        <v>1</v>
      </c>
      <c r="B4" s="22" t="s">
        <v>49</v>
      </c>
      <c r="C4" s="23" t="s">
        <v>0</v>
      </c>
      <c r="D4" s="23" t="s">
        <v>46</v>
      </c>
      <c r="E4" s="18" t="s">
        <v>48</v>
      </c>
      <c r="F4" s="26" t="s">
        <v>51</v>
      </c>
      <c r="G4" s="27" t="s">
        <v>49</v>
      </c>
      <c r="H4" s="27" t="s">
        <v>0</v>
      </c>
      <c r="I4" s="27" t="s">
        <v>46</v>
      </c>
    </row>
    <row r="5" spans="1:9" x14ac:dyDescent="0.35">
      <c r="A5" s="4" t="s">
        <v>7</v>
      </c>
      <c r="B5" s="9"/>
      <c r="C5" s="9"/>
      <c r="D5" s="10">
        <f t="shared" ref="D5:D11" si="0">C5-B5</f>
        <v>0</v>
      </c>
      <c r="E5" s="8"/>
      <c r="F5" s="28" t="s">
        <v>2</v>
      </c>
      <c r="G5" s="25">
        <f>Table2200[[#Totals],[Budget]]</f>
        <v>0</v>
      </c>
      <c r="H5" s="25">
        <f>Table2200[[#Totals],[Actual]]</f>
        <v>0</v>
      </c>
      <c r="I5" s="25">
        <f>G5-H5</f>
        <v>0</v>
      </c>
    </row>
    <row r="6" spans="1:9" ht="15" thickBot="1" x14ac:dyDescent="0.4">
      <c r="A6" s="4" t="s">
        <v>119</v>
      </c>
      <c r="B6" s="9">
        <v>0</v>
      </c>
      <c r="C6" s="9">
        <v>0</v>
      </c>
      <c r="D6" s="10">
        <f t="shared" si="0"/>
        <v>0</v>
      </c>
      <c r="E6" s="8"/>
      <c r="F6" s="28" t="s">
        <v>3</v>
      </c>
      <c r="G6" s="25">
        <f>SUM(,Table5201[[#Totals],[Budget]],Table20209[[#Totals],[Budget]],Table21210[[#Totals],[Budget]],Table19208[[#Totals],[Budget]],Table15207[[#Totals],[Budget]],Table14206[[#Totals],[Budget]],Table10205[[#Totals],[Budget]],Table8204[[#Totals],[Budget]],Table7203[[#Totals],[Budget]],Table6202[[#Totals],[Budget]])</f>
        <v>0</v>
      </c>
      <c r="H6" s="25">
        <f>SUM(Table5201[[#Totals],[Actual]],Table20209[[#Totals],[Actual]],Table21210[[#Totals],[Actual]],Table19208[[#Totals],[Actual]],Table15207[[#Totals],[Actual]],Table14206[[#Totals],[Actual]],Table10205[[#Totals],[Actual]],Table8204[[#Totals],[Actual]],Table7203[[#Totals],[Actual]],Table6202[[#Totals],[Actual]])</f>
        <v>0</v>
      </c>
      <c r="I6" s="25">
        <f>G6-H6</f>
        <v>0</v>
      </c>
    </row>
    <row r="7" spans="1:9" ht="15" thickTop="1" x14ac:dyDescent="0.35">
      <c r="A7" s="4" t="s">
        <v>94</v>
      </c>
      <c r="B7" s="9">
        <v>0</v>
      </c>
      <c r="C7" s="9">
        <v>0</v>
      </c>
      <c r="D7" s="10">
        <f t="shared" si="0"/>
        <v>0</v>
      </c>
      <c r="E7" s="8"/>
      <c r="F7" s="29" t="s">
        <v>4</v>
      </c>
      <c r="G7" s="30">
        <f>G5-G6</f>
        <v>0</v>
      </c>
      <c r="H7" s="30">
        <f>H5-H6</f>
        <v>0</v>
      </c>
      <c r="I7" s="30">
        <f>H7-G7</f>
        <v>0</v>
      </c>
    </row>
    <row r="8" spans="1:9" s="2" customFormat="1" x14ac:dyDescent="0.35">
      <c r="A8" s="4" t="s">
        <v>121</v>
      </c>
      <c r="B8" s="9">
        <v>0</v>
      </c>
      <c r="C8" s="9">
        <v>0</v>
      </c>
      <c r="D8" s="10">
        <f t="shared" si="0"/>
        <v>0</v>
      </c>
      <c r="E8" s="11"/>
      <c r="F8" s="11"/>
      <c r="G8" s="11"/>
      <c r="H8" s="11"/>
      <c r="I8" s="11"/>
    </row>
    <row r="9" spans="1:9" x14ac:dyDescent="0.35">
      <c r="A9" s="4" t="s">
        <v>50</v>
      </c>
      <c r="B9" s="9"/>
      <c r="C9" s="9"/>
      <c r="D9" s="10">
        <f t="shared" si="0"/>
        <v>0</v>
      </c>
      <c r="E9" s="8"/>
      <c r="F9" s="11"/>
      <c r="G9" s="11"/>
      <c r="H9" s="11"/>
      <c r="I9" s="11"/>
    </row>
    <row r="10" spans="1:9" x14ac:dyDescent="0.35">
      <c r="A10" s="4" t="s">
        <v>47</v>
      </c>
      <c r="B10" s="9"/>
      <c r="C10" s="9"/>
      <c r="D10" s="10">
        <f t="shared" si="0"/>
        <v>0</v>
      </c>
      <c r="E10" s="8"/>
      <c r="F10" s="21" t="s">
        <v>26</v>
      </c>
      <c r="G10" s="22" t="s">
        <v>49</v>
      </c>
      <c r="H10" s="23" t="s">
        <v>0</v>
      </c>
      <c r="I10" s="23" t="s">
        <v>46</v>
      </c>
    </row>
    <row r="11" spans="1:9" x14ac:dyDescent="0.35">
      <c r="A11" s="4" t="s">
        <v>10</v>
      </c>
      <c r="B11" s="9"/>
      <c r="C11" s="9"/>
      <c r="D11" s="10">
        <f t="shared" si="0"/>
        <v>0</v>
      </c>
      <c r="E11" s="8"/>
      <c r="F11" s="4" t="s">
        <v>5</v>
      </c>
      <c r="G11" s="14"/>
      <c r="H11" s="14"/>
      <c r="I11" s="10">
        <f t="shared" ref="I11:I19" si="1">G11-H11</f>
        <v>0</v>
      </c>
    </row>
    <row r="12" spans="1:9" x14ac:dyDescent="0.35">
      <c r="A12" s="4" t="s">
        <v>77</v>
      </c>
      <c r="B12" s="12">
        <v>0</v>
      </c>
      <c r="C12" s="12"/>
      <c r="D12" s="10">
        <f>C12-B12</f>
        <v>0</v>
      </c>
      <c r="E12" s="8"/>
      <c r="F12" s="4" t="s">
        <v>69</v>
      </c>
      <c r="G12" s="14">
        <v>0</v>
      </c>
      <c r="H12" s="14"/>
      <c r="I12" s="10">
        <f t="shared" si="1"/>
        <v>0</v>
      </c>
    </row>
    <row r="13" spans="1:9" x14ac:dyDescent="0.35">
      <c r="A13" s="37" t="str">
        <f>"Total " &amp; Table2200[[#Headers],[INCOME]]</f>
        <v>Total INCOME</v>
      </c>
      <c r="B13" s="38">
        <f>SUBTOTAL(109,Table2200[Budget])</f>
        <v>0</v>
      </c>
      <c r="C13" s="38">
        <f>SUBTOTAL(109,Table2200[Actual])</f>
        <v>0</v>
      </c>
      <c r="D13" s="39">
        <f>SUBTOTAL(109,Table2200[Difference])</f>
        <v>0</v>
      </c>
      <c r="E13" s="8"/>
      <c r="F13" s="4" t="s">
        <v>92</v>
      </c>
      <c r="G13" s="14">
        <v>0</v>
      </c>
      <c r="H13" s="14">
        <v>0</v>
      </c>
      <c r="I13" s="10">
        <f t="shared" si="1"/>
        <v>0</v>
      </c>
    </row>
    <row r="14" spans="1:9" x14ac:dyDescent="0.35">
      <c r="A14" s="8"/>
      <c r="B14" s="8"/>
      <c r="C14" s="8"/>
      <c r="D14" s="8"/>
      <c r="E14" s="8"/>
      <c r="F14" s="4" t="s">
        <v>57</v>
      </c>
      <c r="G14" s="14"/>
      <c r="H14" s="14"/>
      <c r="I14" s="10">
        <f t="shared" si="1"/>
        <v>0</v>
      </c>
    </row>
    <row r="15" spans="1:9" x14ac:dyDescent="0.35">
      <c r="A15" s="21" t="s">
        <v>9</v>
      </c>
      <c r="B15" s="22" t="s">
        <v>49</v>
      </c>
      <c r="C15" s="23" t="s">
        <v>0</v>
      </c>
      <c r="D15" s="23" t="s">
        <v>46</v>
      </c>
      <c r="E15" s="8"/>
      <c r="F15" s="4" t="s">
        <v>58</v>
      </c>
      <c r="G15" s="14">
        <v>0</v>
      </c>
      <c r="H15" s="14">
        <v>0</v>
      </c>
      <c r="I15" s="10">
        <f t="shared" si="1"/>
        <v>0</v>
      </c>
    </row>
    <row r="16" spans="1:9" x14ac:dyDescent="0.35">
      <c r="A16" s="4" t="s">
        <v>63</v>
      </c>
      <c r="B16" s="9"/>
      <c r="C16" s="9"/>
      <c r="D16" s="10">
        <f>B16-C16</f>
        <v>0</v>
      </c>
      <c r="E16" s="8"/>
      <c r="F16" s="4" t="s">
        <v>40</v>
      </c>
      <c r="G16" s="14"/>
      <c r="H16" s="14"/>
      <c r="I16" s="10">
        <f t="shared" si="1"/>
        <v>0</v>
      </c>
    </row>
    <row r="17" spans="1:9" x14ac:dyDescent="0.35">
      <c r="A17" s="4" t="s">
        <v>66</v>
      </c>
      <c r="B17" s="9"/>
      <c r="C17" s="9"/>
      <c r="D17" s="10">
        <f t="shared" ref="D17:D28" si="2">B17-C17</f>
        <v>0</v>
      </c>
      <c r="E17" s="8"/>
      <c r="F17" s="4" t="s">
        <v>71</v>
      </c>
      <c r="G17" s="14">
        <v>0</v>
      </c>
      <c r="H17" s="14">
        <v>0</v>
      </c>
      <c r="I17" s="10">
        <f t="shared" si="1"/>
        <v>0</v>
      </c>
    </row>
    <row r="18" spans="1:9" x14ac:dyDescent="0.35">
      <c r="A18" s="4" t="s">
        <v>62</v>
      </c>
      <c r="B18" s="9"/>
      <c r="C18" s="9"/>
      <c r="D18" s="10">
        <f t="shared" si="2"/>
        <v>0</v>
      </c>
      <c r="E18" s="8"/>
      <c r="F18" s="4" t="s">
        <v>74</v>
      </c>
      <c r="G18" s="14">
        <v>0</v>
      </c>
      <c r="H18" s="14">
        <v>0</v>
      </c>
      <c r="I18" s="10">
        <f t="shared" si="1"/>
        <v>0</v>
      </c>
    </row>
    <row r="19" spans="1:9" x14ac:dyDescent="0.35">
      <c r="A19" s="4" t="s">
        <v>61</v>
      </c>
      <c r="B19" s="9">
        <v>0</v>
      </c>
      <c r="C19" s="9">
        <v>0</v>
      </c>
      <c r="D19" s="10">
        <f t="shared" si="2"/>
        <v>0</v>
      </c>
      <c r="E19" s="8"/>
      <c r="F19" s="4" t="s">
        <v>70</v>
      </c>
      <c r="G19" s="14">
        <v>0</v>
      </c>
      <c r="H19" s="14"/>
      <c r="I19" s="10">
        <f t="shared" si="1"/>
        <v>0</v>
      </c>
    </row>
    <row r="20" spans="1:9" s="5" customFormat="1" x14ac:dyDescent="0.35">
      <c r="A20" s="4" t="s">
        <v>64</v>
      </c>
      <c r="B20" s="9"/>
      <c r="C20" s="9"/>
      <c r="D20" s="10">
        <f t="shared" si="2"/>
        <v>0</v>
      </c>
      <c r="E20" s="8"/>
      <c r="F20" s="37" t="str">
        <f>"Total " &amp; Table6202[[#Headers],[DAILY LIVING]]</f>
        <v>Total DAILY LIVING</v>
      </c>
      <c r="G20" s="38">
        <f>SUBTOTAL(109,Table6202[Budget])</f>
        <v>0</v>
      </c>
      <c r="H20" s="38">
        <f>SUBTOTAL(109,Table6202[Actual])</f>
        <v>0</v>
      </c>
      <c r="I20" s="39">
        <f>SUBTOTAL(109,Table6202[Difference])</f>
        <v>0</v>
      </c>
    </row>
    <row r="21" spans="1:9" x14ac:dyDescent="0.35">
      <c r="A21" s="4" t="s">
        <v>118</v>
      </c>
      <c r="B21" s="9"/>
      <c r="C21" s="9"/>
      <c r="D21" s="10">
        <f t="shared" si="2"/>
        <v>0</v>
      </c>
      <c r="E21" s="8"/>
      <c r="F21" s="8"/>
      <c r="G21" s="17"/>
      <c r="H21" s="17"/>
      <c r="I21" s="17"/>
    </row>
    <row r="22" spans="1:9" x14ac:dyDescent="0.35">
      <c r="A22" s="4" t="s">
        <v>39</v>
      </c>
      <c r="B22" s="9">
        <v>0</v>
      </c>
      <c r="C22" s="9">
        <v>0</v>
      </c>
      <c r="D22" s="10">
        <f t="shared" si="2"/>
        <v>0</v>
      </c>
      <c r="E22" s="8"/>
      <c r="F22" s="21" t="s">
        <v>78</v>
      </c>
      <c r="G22" s="22" t="s">
        <v>49</v>
      </c>
      <c r="H22" s="23" t="s">
        <v>0</v>
      </c>
      <c r="I22" s="23" t="s">
        <v>46</v>
      </c>
    </row>
    <row r="23" spans="1:9" x14ac:dyDescent="0.35">
      <c r="A23" s="4" t="s">
        <v>65</v>
      </c>
      <c r="B23" s="9"/>
      <c r="C23" s="9"/>
      <c r="D23" s="10">
        <f t="shared" si="2"/>
        <v>0</v>
      </c>
      <c r="E23" s="8"/>
      <c r="F23" s="4" t="s">
        <v>93</v>
      </c>
      <c r="G23" s="14"/>
      <c r="H23" s="14"/>
      <c r="I23" s="10">
        <f t="shared" ref="I23:I36" si="3">G23-H23</f>
        <v>0</v>
      </c>
    </row>
    <row r="24" spans="1:9" x14ac:dyDescent="0.35">
      <c r="A24" s="4" t="s">
        <v>38</v>
      </c>
      <c r="B24" s="9"/>
      <c r="C24" s="9"/>
      <c r="D24" s="10">
        <f t="shared" si="2"/>
        <v>0</v>
      </c>
      <c r="E24" s="8"/>
      <c r="F24" s="4" t="s">
        <v>133</v>
      </c>
      <c r="G24" s="14"/>
      <c r="H24" s="14"/>
      <c r="I24" s="10">
        <f t="shared" si="3"/>
        <v>0</v>
      </c>
    </row>
    <row r="25" spans="1:9" x14ac:dyDescent="0.35">
      <c r="A25" s="4" t="s">
        <v>37</v>
      </c>
      <c r="B25" s="9">
        <v>0</v>
      </c>
      <c r="C25" s="9">
        <v>0</v>
      </c>
      <c r="D25" s="10">
        <f>B25-C25</f>
        <v>0</v>
      </c>
      <c r="E25" s="8"/>
      <c r="F25" s="4"/>
      <c r="G25" s="14"/>
      <c r="H25" s="14"/>
      <c r="I25" s="10">
        <f t="shared" si="3"/>
        <v>0</v>
      </c>
    </row>
    <row r="26" spans="1:9" x14ac:dyDescent="0.35">
      <c r="A26" s="4" t="s">
        <v>73</v>
      </c>
      <c r="B26" s="9">
        <v>0</v>
      </c>
      <c r="C26" s="9">
        <v>0</v>
      </c>
      <c r="D26" s="10">
        <f t="shared" si="2"/>
        <v>0</v>
      </c>
      <c r="E26" s="8"/>
      <c r="F26" s="4" t="s">
        <v>21</v>
      </c>
      <c r="G26" s="14"/>
      <c r="H26" s="14"/>
      <c r="I26" s="10">
        <f t="shared" si="3"/>
        <v>0</v>
      </c>
    </row>
    <row r="27" spans="1:9" x14ac:dyDescent="0.35">
      <c r="A27" s="36" t="s">
        <v>75</v>
      </c>
      <c r="B27" s="9">
        <v>0</v>
      </c>
      <c r="C27" s="9">
        <v>0</v>
      </c>
      <c r="D27" s="10">
        <f t="shared" si="2"/>
        <v>0</v>
      </c>
      <c r="E27" s="8"/>
      <c r="F27" s="4" t="s">
        <v>41</v>
      </c>
      <c r="G27" s="14"/>
      <c r="H27" s="14"/>
      <c r="I27" s="10">
        <f t="shared" si="3"/>
        <v>0</v>
      </c>
    </row>
    <row r="28" spans="1:9" x14ac:dyDescent="0.35">
      <c r="A28" s="4" t="s">
        <v>10</v>
      </c>
      <c r="B28" s="14"/>
      <c r="C28" s="14"/>
      <c r="D28" s="10">
        <f t="shared" si="2"/>
        <v>0</v>
      </c>
      <c r="E28" s="8"/>
      <c r="F28" s="4" t="s">
        <v>42</v>
      </c>
      <c r="G28" s="14"/>
      <c r="H28" s="14"/>
      <c r="I28" s="10">
        <f t="shared" si="3"/>
        <v>0</v>
      </c>
    </row>
    <row r="29" spans="1:9" x14ac:dyDescent="0.35">
      <c r="A29" s="24" t="str">
        <f>"Total " &amp; Table5201[[#Headers],[HOME EXPENSES]]</f>
        <v>Total HOME EXPENSES</v>
      </c>
      <c r="B29" s="19">
        <f>SUBTOTAL(109,Table5201[Budget])</f>
        <v>0</v>
      </c>
      <c r="C29" s="19">
        <f>SUBTOTAL(109,Table5201[Actual])</f>
        <v>0</v>
      </c>
      <c r="D29" s="13">
        <f>SUBTOTAL(109,Table5201[Difference])</f>
        <v>0</v>
      </c>
      <c r="E29" s="8"/>
      <c r="F29" s="4"/>
      <c r="G29" s="14"/>
      <c r="H29" s="14"/>
      <c r="I29" s="10">
        <f t="shared" si="3"/>
        <v>0</v>
      </c>
    </row>
    <row r="30" spans="1:9" x14ac:dyDescent="0.35">
      <c r="A30" s="8"/>
      <c r="B30" s="17"/>
      <c r="C30" s="17"/>
      <c r="D30" s="17"/>
      <c r="E30" s="8"/>
      <c r="F30" s="4" t="s">
        <v>23</v>
      </c>
      <c r="G30" s="14"/>
      <c r="H30" s="14"/>
      <c r="I30" s="10">
        <f t="shared" si="3"/>
        <v>0</v>
      </c>
    </row>
    <row r="31" spans="1:9" x14ac:dyDescent="0.35">
      <c r="A31" s="21" t="s">
        <v>11</v>
      </c>
      <c r="B31" s="22" t="s">
        <v>49</v>
      </c>
      <c r="C31" s="23" t="s">
        <v>0</v>
      </c>
      <c r="D31" s="23" t="s">
        <v>46</v>
      </c>
      <c r="E31" s="8"/>
      <c r="F31" s="4" t="s">
        <v>43</v>
      </c>
      <c r="G31" s="14"/>
      <c r="H31" s="14"/>
      <c r="I31" s="10">
        <f t="shared" si="3"/>
        <v>0</v>
      </c>
    </row>
    <row r="32" spans="1:9" x14ac:dyDescent="0.35">
      <c r="A32" s="4" t="s">
        <v>12</v>
      </c>
      <c r="B32" s="14">
        <v>0</v>
      </c>
      <c r="C32" s="14">
        <v>0</v>
      </c>
      <c r="D32" s="10">
        <f>B32-C32</f>
        <v>0</v>
      </c>
      <c r="E32" s="8"/>
      <c r="F32" s="4" t="s">
        <v>24</v>
      </c>
      <c r="G32" s="14"/>
      <c r="H32" s="14"/>
      <c r="I32" s="10">
        <f t="shared" si="3"/>
        <v>0</v>
      </c>
    </row>
    <row r="33" spans="1:9" x14ac:dyDescent="0.35">
      <c r="A33" s="4" t="s">
        <v>52</v>
      </c>
      <c r="B33" s="14"/>
      <c r="C33" s="14"/>
      <c r="D33" s="10">
        <f t="shared" ref="D33:D38" si="4">B33-C33</f>
        <v>0</v>
      </c>
      <c r="E33" s="8"/>
      <c r="F33" s="4" t="s">
        <v>22</v>
      </c>
      <c r="G33" s="14"/>
      <c r="H33" s="14"/>
      <c r="I33" s="10">
        <f t="shared" si="3"/>
        <v>0</v>
      </c>
    </row>
    <row r="34" spans="1:9" x14ac:dyDescent="0.35">
      <c r="A34" s="4" t="s">
        <v>13</v>
      </c>
      <c r="B34" s="14"/>
      <c r="C34" s="14"/>
      <c r="D34" s="10">
        <f>B34-C34</f>
        <v>0</v>
      </c>
      <c r="E34" s="8"/>
      <c r="F34" s="4" t="s">
        <v>44</v>
      </c>
      <c r="G34" s="14"/>
      <c r="H34" s="14">
        <v>0</v>
      </c>
      <c r="I34" s="10">
        <f t="shared" si="3"/>
        <v>0</v>
      </c>
    </row>
    <row r="35" spans="1:9" x14ac:dyDescent="0.35">
      <c r="A35" s="4" t="s">
        <v>35</v>
      </c>
      <c r="B35" s="14"/>
      <c r="C35" s="14"/>
      <c r="D35" s="10">
        <f t="shared" si="4"/>
        <v>0</v>
      </c>
      <c r="E35" s="8"/>
      <c r="F35" s="4" t="s">
        <v>59</v>
      </c>
      <c r="G35" s="14"/>
      <c r="H35" s="14"/>
      <c r="I35" s="10">
        <f t="shared" si="3"/>
        <v>0</v>
      </c>
    </row>
    <row r="36" spans="1:9" x14ac:dyDescent="0.35">
      <c r="A36" s="4" t="s">
        <v>14</v>
      </c>
      <c r="B36" s="14">
        <v>0</v>
      </c>
      <c r="C36" s="14"/>
      <c r="D36" s="10">
        <f t="shared" si="4"/>
        <v>0</v>
      </c>
      <c r="E36" s="8"/>
      <c r="F36" s="4" t="s">
        <v>76</v>
      </c>
      <c r="G36" s="14"/>
      <c r="H36" s="14">
        <v>0</v>
      </c>
      <c r="I36" s="10">
        <f t="shared" si="3"/>
        <v>0</v>
      </c>
    </row>
    <row r="37" spans="1:9" x14ac:dyDescent="0.35">
      <c r="A37" s="4" t="s">
        <v>36</v>
      </c>
      <c r="B37" s="14"/>
      <c r="C37" s="14"/>
      <c r="D37" s="10">
        <f t="shared" si="4"/>
        <v>0</v>
      </c>
      <c r="E37" s="8"/>
      <c r="F37" s="37" t="str">
        <f>"Total " &amp; Table7203[[#Headers],[Entertainment]]</f>
        <v>Total Entertainment</v>
      </c>
      <c r="G37" s="38">
        <f>SUBTOTAL(109,Table7203[Budget])</f>
        <v>0</v>
      </c>
      <c r="H37" s="38">
        <f>SUBTOTAL(109,Table7203[Actual])</f>
        <v>0</v>
      </c>
      <c r="I37" s="39">
        <f>SUBTOTAL(109,Table7203[Difference])</f>
        <v>0</v>
      </c>
    </row>
    <row r="38" spans="1:9" x14ac:dyDescent="0.35">
      <c r="A38" s="4" t="s">
        <v>10</v>
      </c>
      <c r="B38" s="14"/>
      <c r="C38" s="14"/>
      <c r="D38" s="10">
        <f t="shared" si="4"/>
        <v>0</v>
      </c>
      <c r="E38" s="8"/>
      <c r="F38" s="8"/>
      <c r="G38" s="17"/>
      <c r="H38" s="17"/>
      <c r="I38" s="17"/>
    </row>
    <row r="39" spans="1:9" x14ac:dyDescent="0.35">
      <c r="A39" s="24" t="str">
        <f>"Total " &amp; Table20209[[#Headers],[TRANSPORTATION]]</f>
        <v>Total TRANSPORTATION</v>
      </c>
      <c r="B39" s="19">
        <f>SUBTOTAL(109,Table20209[Budget])</f>
        <v>0</v>
      </c>
      <c r="C39" s="19">
        <f>SUBTOTAL(109,Table20209[Actual])</f>
        <v>0</v>
      </c>
      <c r="D39" s="13">
        <f>SUBTOTAL(109,Table20209[Difference])</f>
        <v>0</v>
      </c>
      <c r="E39" s="8"/>
      <c r="F39" s="21" t="s">
        <v>32</v>
      </c>
      <c r="G39" s="22" t="s">
        <v>49</v>
      </c>
      <c r="H39" s="23" t="s">
        <v>0</v>
      </c>
      <c r="I39" s="23" t="s">
        <v>46</v>
      </c>
    </row>
    <row r="40" spans="1:9" x14ac:dyDescent="0.35">
      <c r="A40" s="8"/>
      <c r="B40" s="17"/>
      <c r="C40" s="17"/>
      <c r="D40" s="17"/>
      <c r="E40" s="8"/>
      <c r="F40" s="4" t="s">
        <v>29</v>
      </c>
      <c r="G40" s="14"/>
      <c r="H40" s="14"/>
      <c r="I40" s="10">
        <f>G40-H40</f>
        <v>0</v>
      </c>
    </row>
    <row r="41" spans="1:9" x14ac:dyDescent="0.35">
      <c r="A41" s="21" t="s">
        <v>15</v>
      </c>
      <c r="B41" s="22" t="s">
        <v>49</v>
      </c>
      <c r="C41" s="23" t="s">
        <v>0</v>
      </c>
      <c r="D41" s="23" t="s">
        <v>46</v>
      </c>
      <c r="E41" s="8"/>
      <c r="F41" s="4" t="s">
        <v>30</v>
      </c>
      <c r="G41" s="14"/>
      <c r="H41" s="14"/>
      <c r="I41" s="10">
        <f t="shared" ref="I41:I42" si="5">G41-H41</f>
        <v>0</v>
      </c>
    </row>
    <row r="42" spans="1:9" x14ac:dyDescent="0.35">
      <c r="A42" s="4" t="s">
        <v>53</v>
      </c>
      <c r="B42" s="14"/>
      <c r="C42" s="14"/>
      <c r="D42" s="10">
        <f t="shared" ref="D42:D48" si="6">B42-C42</f>
        <v>0</v>
      </c>
      <c r="E42" s="8"/>
      <c r="F42" s="4" t="s">
        <v>33</v>
      </c>
      <c r="G42" s="14"/>
      <c r="H42" s="14"/>
      <c r="I42" s="10">
        <f t="shared" si="5"/>
        <v>0</v>
      </c>
    </row>
    <row r="43" spans="1:9" x14ac:dyDescent="0.35">
      <c r="A43" s="4" t="s">
        <v>16</v>
      </c>
      <c r="B43" s="14">
        <v>0</v>
      </c>
      <c r="C43" s="14">
        <v>0</v>
      </c>
      <c r="D43" s="10">
        <f t="shared" si="6"/>
        <v>0</v>
      </c>
      <c r="E43" s="8"/>
      <c r="F43" s="4" t="s">
        <v>31</v>
      </c>
      <c r="G43" s="14"/>
      <c r="H43" s="14"/>
      <c r="I43" s="10">
        <f>G43-H43</f>
        <v>0</v>
      </c>
    </row>
    <row r="44" spans="1:9" x14ac:dyDescent="0.35">
      <c r="A44" s="4" t="s">
        <v>17</v>
      </c>
      <c r="B44" s="14"/>
      <c r="C44" s="14"/>
      <c r="D44" s="10">
        <f t="shared" si="6"/>
        <v>0</v>
      </c>
      <c r="E44" s="8"/>
      <c r="F44" s="4" t="s">
        <v>60</v>
      </c>
      <c r="G44" s="14"/>
      <c r="H44" s="14"/>
      <c r="I44" s="10">
        <f>G44-H44</f>
        <v>0</v>
      </c>
    </row>
    <row r="45" spans="1:9" x14ac:dyDescent="0.35">
      <c r="A45" s="4" t="s">
        <v>18</v>
      </c>
      <c r="B45" s="14">
        <v>0</v>
      </c>
      <c r="C45" s="14">
        <v>0</v>
      </c>
      <c r="D45" s="10">
        <f t="shared" si="6"/>
        <v>0</v>
      </c>
      <c r="E45" s="8"/>
      <c r="F45" s="4" t="s">
        <v>10</v>
      </c>
      <c r="G45" s="14"/>
      <c r="H45" s="14"/>
      <c r="I45" s="10">
        <f>G45-H45</f>
        <v>0</v>
      </c>
    </row>
    <row r="46" spans="1:9" x14ac:dyDescent="0.35">
      <c r="A46" s="4" t="s">
        <v>54</v>
      </c>
      <c r="B46" s="14"/>
      <c r="C46" s="14"/>
      <c r="D46" s="10">
        <f t="shared" si="6"/>
        <v>0</v>
      </c>
      <c r="E46" s="8"/>
      <c r="F46" s="24" t="str">
        <f>"Total " &amp; Table8204[[#Headers],[SAVINGS]]</f>
        <v>Total SAVINGS</v>
      </c>
      <c r="G46" s="19">
        <f>SUBTOTAL(109,Table8204[Budget])</f>
        <v>0</v>
      </c>
      <c r="H46" s="19">
        <f>SUBTOTAL(109,Table8204[Actual])</f>
        <v>0</v>
      </c>
      <c r="I46" s="13">
        <f>SUBTOTAL(109,Table8204[Difference])</f>
        <v>0</v>
      </c>
    </row>
    <row r="47" spans="1:9" x14ac:dyDescent="0.35">
      <c r="A47" s="4" t="s">
        <v>55</v>
      </c>
      <c r="B47" s="14"/>
      <c r="C47" s="14"/>
      <c r="D47" s="10">
        <f t="shared" si="6"/>
        <v>0</v>
      </c>
      <c r="E47" s="8"/>
      <c r="F47" s="8"/>
      <c r="G47" s="17"/>
      <c r="H47" s="17"/>
      <c r="I47" s="17"/>
    </row>
    <row r="48" spans="1:9" x14ac:dyDescent="0.35">
      <c r="A48" s="4" t="s">
        <v>10</v>
      </c>
      <c r="B48" s="14"/>
      <c r="C48" s="14"/>
      <c r="D48" s="10">
        <f t="shared" si="6"/>
        <v>0</v>
      </c>
      <c r="E48" s="8"/>
      <c r="F48" s="21" t="s">
        <v>34</v>
      </c>
      <c r="G48" s="22" t="s">
        <v>49</v>
      </c>
      <c r="H48" s="23" t="s">
        <v>0</v>
      </c>
      <c r="I48" s="23" t="s">
        <v>46</v>
      </c>
    </row>
    <row r="49" spans="1:9" x14ac:dyDescent="0.35">
      <c r="A49" s="24" t="str">
        <f>"Total " &amp; Table21210[[#Headers],[HEALTH]]</f>
        <v>Total HEALTH</v>
      </c>
      <c r="B49" s="19">
        <f>SUBTOTAL(109,Table21210[Budget])</f>
        <v>0</v>
      </c>
      <c r="C49" s="19">
        <f>SUBTOTAL(109,Table21210[Actual])</f>
        <v>0</v>
      </c>
      <c r="D49" s="13">
        <f>SUBTOTAL(109,Table21210[Difference])</f>
        <v>0</v>
      </c>
      <c r="E49" s="8"/>
      <c r="F49" s="4" t="s">
        <v>114</v>
      </c>
      <c r="G49" s="14">
        <v>0</v>
      </c>
      <c r="H49" s="14"/>
      <c r="I49" s="10">
        <f t="shared" ref="I49:I55" si="7">G49-H49</f>
        <v>0</v>
      </c>
    </row>
    <row r="50" spans="1:9" x14ac:dyDescent="0.35">
      <c r="A50" s="8"/>
      <c r="B50" s="17"/>
      <c r="C50" s="17"/>
      <c r="D50" s="17"/>
      <c r="E50" s="8"/>
      <c r="F50" s="4" t="s">
        <v>114</v>
      </c>
      <c r="G50" s="14">
        <v>0</v>
      </c>
      <c r="H50" s="14"/>
      <c r="I50" s="10">
        <f t="shared" si="7"/>
        <v>0</v>
      </c>
    </row>
    <row r="51" spans="1:9" x14ac:dyDescent="0.35">
      <c r="A51" s="21" t="s">
        <v>45</v>
      </c>
      <c r="B51" s="22" t="s">
        <v>49</v>
      </c>
      <c r="C51" s="23" t="s">
        <v>0</v>
      </c>
      <c r="D51" s="23" t="s">
        <v>46</v>
      </c>
      <c r="E51" s="8"/>
      <c r="F51" s="4" t="s">
        <v>114</v>
      </c>
      <c r="G51" s="14">
        <v>0</v>
      </c>
      <c r="H51" s="14"/>
      <c r="I51" s="10">
        <f t="shared" si="7"/>
        <v>0</v>
      </c>
    </row>
    <row r="52" spans="1:9" x14ac:dyDescent="0.35">
      <c r="A52" s="4" t="s">
        <v>6</v>
      </c>
      <c r="B52" s="14">
        <v>0</v>
      </c>
      <c r="C52" s="14">
        <v>0</v>
      </c>
      <c r="D52" s="10">
        <f t="shared" ref="D52:D55" si="8">B52-C52</f>
        <v>0</v>
      </c>
      <c r="E52" s="8"/>
      <c r="F52" s="4" t="s">
        <v>115</v>
      </c>
      <c r="G52" s="14">
        <v>0</v>
      </c>
      <c r="H52" s="14"/>
      <c r="I52" s="10">
        <f t="shared" si="7"/>
        <v>0</v>
      </c>
    </row>
    <row r="53" spans="1:9" x14ac:dyDescent="0.35">
      <c r="A53" s="4" t="s">
        <v>27</v>
      </c>
      <c r="B53" s="14"/>
      <c r="C53" s="14"/>
      <c r="D53" s="10">
        <f t="shared" si="8"/>
        <v>0</v>
      </c>
      <c r="E53" s="8"/>
      <c r="F53" s="4" t="s">
        <v>115</v>
      </c>
      <c r="G53" s="14">
        <v>0</v>
      </c>
      <c r="H53" s="14"/>
      <c r="I53" s="10">
        <f t="shared" si="7"/>
        <v>0</v>
      </c>
    </row>
    <row r="54" spans="1:9" x14ac:dyDescent="0.35">
      <c r="A54" s="4" t="s">
        <v>28</v>
      </c>
      <c r="B54" s="14"/>
      <c r="C54" s="14"/>
      <c r="D54" s="10">
        <f t="shared" si="8"/>
        <v>0</v>
      </c>
      <c r="E54" s="8"/>
      <c r="F54" s="4" t="s">
        <v>116</v>
      </c>
      <c r="G54" s="14"/>
      <c r="H54" s="14"/>
      <c r="I54" s="10">
        <f t="shared" si="7"/>
        <v>0</v>
      </c>
    </row>
    <row r="55" spans="1:9" x14ac:dyDescent="0.35">
      <c r="A55" s="4" t="s">
        <v>10</v>
      </c>
      <c r="B55" s="14"/>
      <c r="C55" s="14"/>
      <c r="D55" s="10">
        <f t="shared" si="8"/>
        <v>0</v>
      </c>
      <c r="E55" s="8"/>
      <c r="F55" s="4" t="s">
        <v>131</v>
      </c>
      <c r="G55" s="14"/>
      <c r="H55" s="14"/>
      <c r="I55" s="10">
        <f t="shared" si="7"/>
        <v>0</v>
      </c>
    </row>
    <row r="56" spans="1:9" x14ac:dyDescent="0.35">
      <c r="A56" s="24" t="str">
        <f>"Total " &amp; Table19208[[#Headers],[CHARITY/GIFTS]]</f>
        <v>Total CHARITY/GIFTS</v>
      </c>
      <c r="B56" s="19">
        <f>SUBTOTAL(109,Table19208[Budget])</f>
        <v>0</v>
      </c>
      <c r="C56" s="19">
        <f>SUBTOTAL(109,Table19208[Actual])</f>
        <v>0</v>
      </c>
      <c r="D56" s="13">
        <f>SUBTOTAL(109,Table19208[Difference])</f>
        <v>0</v>
      </c>
      <c r="E56" s="8"/>
      <c r="F56" s="37" t="str">
        <f>"Total " &amp; Table10205[[#Headers],[OBLIGATIONS]]</f>
        <v>Total OBLIGATIONS</v>
      </c>
      <c r="G56" s="38">
        <f>SUBTOTAL(109,Table10205[Budget])</f>
        <v>0</v>
      </c>
      <c r="H56" s="38">
        <f>SUBTOTAL(109,Table10205[Actual])</f>
        <v>0</v>
      </c>
      <c r="I56" s="39">
        <f>SUBTOTAL(109,Table10205[Difference])</f>
        <v>0</v>
      </c>
    </row>
    <row r="57" spans="1:9" x14ac:dyDescent="0.35">
      <c r="A57" s="8"/>
      <c r="B57" s="17"/>
      <c r="C57" s="17"/>
      <c r="D57" s="17"/>
      <c r="E57" s="8"/>
      <c r="F57" s="8"/>
      <c r="G57" s="17"/>
      <c r="H57" s="17"/>
      <c r="I57" s="17"/>
    </row>
    <row r="58" spans="1:9" x14ac:dyDescent="0.35">
      <c r="A58" s="21" t="s">
        <v>25</v>
      </c>
      <c r="B58" s="22" t="s">
        <v>49</v>
      </c>
      <c r="C58" s="23" t="s">
        <v>0</v>
      </c>
      <c r="D58" s="23" t="s">
        <v>46</v>
      </c>
      <c r="E58" s="8"/>
      <c r="F58" s="21" t="s">
        <v>8</v>
      </c>
      <c r="G58" s="22" t="s">
        <v>49</v>
      </c>
      <c r="H58" s="23" t="s">
        <v>0</v>
      </c>
      <c r="I58" s="23" t="s">
        <v>46</v>
      </c>
    </row>
    <row r="59" spans="1:9" x14ac:dyDescent="0.35">
      <c r="A59" s="4" t="s">
        <v>19</v>
      </c>
      <c r="B59" s="14"/>
      <c r="C59" s="14"/>
      <c r="D59" s="10">
        <f t="shared" ref="D59:D62" si="9">B59-C59</f>
        <v>0</v>
      </c>
      <c r="E59" s="8"/>
      <c r="F59" s="4" t="s">
        <v>68</v>
      </c>
      <c r="G59" s="9">
        <v>0</v>
      </c>
      <c r="H59" s="9">
        <v>0</v>
      </c>
      <c r="I59" s="10">
        <f t="shared" ref="I59:I62" si="10">G59-H59</f>
        <v>0</v>
      </c>
    </row>
    <row r="60" spans="1:9" x14ac:dyDescent="0.35">
      <c r="A60" s="4" t="s">
        <v>20</v>
      </c>
      <c r="B60" s="14"/>
      <c r="C60" s="14"/>
      <c r="D60" s="10">
        <f t="shared" si="9"/>
        <v>0</v>
      </c>
      <c r="E60" s="8"/>
      <c r="F60" s="4" t="s">
        <v>72</v>
      </c>
      <c r="G60" s="9"/>
      <c r="H60" s="9"/>
      <c r="I60" s="10">
        <f t="shared" si="10"/>
        <v>0</v>
      </c>
    </row>
    <row r="61" spans="1:9" x14ac:dyDescent="0.35">
      <c r="A61" s="4" t="s">
        <v>56</v>
      </c>
      <c r="B61" s="14"/>
      <c r="C61" s="14"/>
      <c r="D61" s="10">
        <f t="shared" si="9"/>
        <v>0</v>
      </c>
      <c r="E61" s="8"/>
      <c r="F61" s="4" t="s">
        <v>67</v>
      </c>
      <c r="G61" s="9">
        <v>0</v>
      </c>
      <c r="H61" s="9">
        <v>0</v>
      </c>
      <c r="I61" s="10">
        <f t="shared" si="10"/>
        <v>0</v>
      </c>
    </row>
    <row r="62" spans="1:9" x14ac:dyDescent="0.35">
      <c r="A62" s="4" t="s">
        <v>10</v>
      </c>
      <c r="B62" s="14"/>
      <c r="C62" s="14"/>
      <c r="D62" s="10">
        <f t="shared" si="9"/>
        <v>0</v>
      </c>
      <c r="E62" s="8"/>
      <c r="F62" s="4" t="s">
        <v>10</v>
      </c>
      <c r="G62" s="14"/>
      <c r="H62" s="14"/>
      <c r="I62" s="10">
        <f t="shared" si="10"/>
        <v>0</v>
      </c>
    </row>
    <row r="63" spans="1:9" x14ac:dyDescent="0.35">
      <c r="A63" s="24" t="str">
        <f>"Total " &amp; Table15207[[#Headers],[SUBSCRIPTIONS]]</f>
        <v>Total SUBSCRIPTIONS</v>
      </c>
      <c r="B63" s="19">
        <f>SUBTOTAL(109,Table15207[Budget])</f>
        <v>0</v>
      </c>
      <c r="C63" s="19">
        <f>SUBTOTAL(109,Table15207[Actual])</f>
        <v>0</v>
      </c>
      <c r="D63" s="13">
        <f>SUBTOTAL(109,Table15207[Difference])</f>
        <v>0</v>
      </c>
      <c r="E63" s="8"/>
      <c r="F63" s="24" t="str">
        <f>"Total " &amp; Table14206[[#Headers],[MISCELLANEOUS]]</f>
        <v>Total MISCELLANEOUS</v>
      </c>
      <c r="G63" s="19">
        <f>SUBTOTAL(109,Table14206[Budget])</f>
        <v>0</v>
      </c>
      <c r="H63" s="19">
        <f>SUBTOTAL(109,Table14206[Actual])</f>
        <v>0</v>
      </c>
      <c r="I63" s="13">
        <f>SUBTOTAL(109,Table14206[Difference])</f>
        <v>0</v>
      </c>
    </row>
    <row r="64" spans="1:9" x14ac:dyDescent="0.35">
      <c r="E64" s="8"/>
      <c r="F64" s="7"/>
    </row>
    <row r="65" spans="5:6" x14ac:dyDescent="0.35">
      <c r="E65" s="8"/>
      <c r="F65" s="7"/>
    </row>
    <row r="66" spans="5:6" x14ac:dyDescent="0.35">
      <c r="E66" s="8"/>
      <c r="F66" s="7"/>
    </row>
    <row r="67" spans="5:6" x14ac:dyDescent="0.35">
      <c r="E67" s="8"/>
      <c r="F67" s="7"/>
    </row>
    <row r="68" spans="5:6" x14ac:dyDescent="0.35">
      <c r="E68" s="8"/>
      <c r="F68" s="7"/>
    </row>
    <row r="69" spans="5:6" x14ac:dyDescent="0.35">
      <c r="E69" s="8"/>
      <c r="F69" s="7"/>
    </row>
    <row r="70" spans="5:6" x14ac:dyDescent="0.35">
      <c r="E70" s="8"/>
    </row>
    <row r="71" spans="5:6" x14ac:dyDescent="0.35">
      <c r="E71" s="8"/>
    </row>
    <row r="72" spans="5:6" x14ac:dyDescent="0.35">
      <c r="E72" s="8"/>
      <c r="F72" s="7"/>
    </row>
    <row r="73" spans="5:6" x14ac:dyDescent="0.35">
      <c r="E73" s="8"/>
      <c r="F73" s="7"/>
    </row>
    <row r="74" spans="5:6" x14ac:dyDescent="0.35">
      <c r="E74" s="15"/>
      <c r="F74" s="7"/>
    </row>
    <row r="75" spans="5:6" x14ac:dyDescent="0.35">
      <c r="E75" s="16"/>
      <c r="F75" s="7"/>
    </row>
    <row r="76" spans="5:6" x14ac:dyDescent="0.35">
      <c r="E76" s="16"/>
      <c r="F76" s="7"/>
    </row>
    <row r="77" spans="5:6" x14ac:dyDescent="0.35">
      <c r="E77" s="16"/>
      <c r="F77" s="7"/>
    </row>
    <row r="78" spans="5:6" x14ac:dyDescent="0.35">
      <c r="E78" s="16"/>
      <c r="F78" s="7"/>
    </row>
    <row r="79" spans="5:6" x14ac:dyDescent="0.35">
      <c r="E79" s="8"/>
      <c r="F79" s="7"/>
    </row>
    <row r="80" spans="5:6" x14ac:dyDescent="0.35">
      <c r="E80" s="15"/>
      <c r="F80" s="7"/>
    </row>
    <row r="81" spans="5:6" x14ac:dyDescent="0.35">
      <c r="E81" s="16"/>
      <c r="F81" s="7"/>
    </row>
    <row r="82" spans="5:6" x14ac:dyDescent="0.35">
      <c r="E82" s="16"/>
    </row>
    <row r="83" spans="5:6" x14ac:dyDescent="0.35">
      <c r="E83" s="16"/>
    </row>
    <row r="84" spans="5:6" x14ac:dyDescent="0.35">
      <c r="E84" s="20" t="s">
        <v>48</v>
      </c>
    </row>
    <row r="85" spans="5:6" x14ac:dyDescent="0.35">
      <c r="E85" s="16"/>
    </row>
    <row r="86" spans="5:6" x14ac:dyDescent="0.35">
      <c r="E86" s="16"/>
    </row>
    <row r="87" spans="5:6" x14ac:dyDescent="0.35">
      <c r="E87" s="16"/>
    </row>
    <row r="88" spans="5:6" x14ac:dyDescent="0.35">
      <c r="E88" s="16"/>
    </row>
    <row r="89" spans="5:6" x14ac:dyDescent="0.35">
      <c r="E89" s="16"/>
    </row>
    <row r="90" spans="5:6" x14ac:dyDescent="0.35">
      <c r="E90" s="8"/>
    </row>
    <row r="91" spans="5:6" x14ac:dyDescent="0.35">
      <c r="E91" s="15"/>
    </row>
    <row r="92" spans="5:6" x14ac:dyDescent="0.35">
      <c r="E92" s="7"/>
    </row>
    <row r="93" spans="5:6" x14ac:dyDescent="0.35">
      <c r="E93" s="7"/>
    </row>
    <row r="94" spans="5:6" x14ac:dyDescent="0.35">
      <c r="E94" s="7"/>
    </row>
    <row r="95" spans="5:6" x14ac:dyDescent="0.35">
      <c r="E95" s="7"/>
    </row>
    <row r="96" spans="5:6" x14ac:dyDescent="0.35">
      <c r="E96" s="7"/>
    </row>
    <row r="97" spans="5:5" x14ac:dyDescent="0.35">
      <c r="E97" s="7"/>
    </row>
    <row r="98" spans="5:5" x14ac:dyDescent="0.35">
      <c r="E98" s="7"/>
    </row>
    <row r="99" spans="5:5" x14ac:dyDescent="0.35">
      <c r="E99" s="7"/>
    </row>
    <row r="100" spans="5:5" x14ac:dyDescent="0.35">
      <c r="E100" s="7"/>
    </row>
    <row r="101" spans="5:5" x14ac:dyDescent="0.35">
      <c r="E101" s="7"/>
    </row>
    <row r="122" spans="6:6" x14ac:dyDescent="0.35">
      <c r="F122" s="7"/>
    </row>
    <row r="123" spans="6:6" x14ac:dyDescent="0.35">
      <c r="F123" s="7"/>
    </row>
    <row r="124" spans="6:6" x14ac:dyDescent="0.35">
      <c r="F124" s="7"/>
    </row>
    <row r="125" spans="6:6" x14ac:dyDescent="0.35">
      <c r="F125" s="7"/>
    </row>
    <row r="126" spans="6:6" x14ac:dyDescent="0.35">
      <c r="F126" s="7"/>
    </row>
    <row r="127" spans="6:6" x14ac:dyDescent="0.35">
      <c r="F127" s="7"/>
    </row>
    <row r="128" spans="6:6" x14ac:dyDescent="0.35">
      <c r="F128" s="7"/>
    </row>
    <row r="131" spans="5:6" x14ac:dyDescent="0.35">
      <c r="F131" s="7"/>
    </row>
    <row r="132" spans="5:6" x14ac:dyDescent="0.35">
      <c r="F132" s="7"/>
    </row>
    <row r="133" spans="5:6" x14ac:dyDescent="0.35">
      <c r="F133" s="7"/>
    </row>
    <row r="134" spans="5:6" x14ac:dyDescent="0.35">
      <c r="F134" s="7"/>
    </row>
    <row r="135" spans="5:6" x14ac:dyDescent="0.35">
      <c r="F135" s="7"/>
    </row>
    <row r="136" spans="5:6" x14ac:dyDescent="0.35">
      <c r="F136" s="7"/>
    </row>
    <row r="137" spans="5:6" x14ac:dyDescent="0.35">
      <c r="F137" s="7"/>
    </row>
    <row r="141" spans="5:6" x14ac:dyDescent="0.35">
      <c r="E141" s="6"/>
    </row>
    <row r="142" spans="5:6" x14ac:dyDescent="0.35">
      <c r="E142" s="7"/>
    </row>
    <row r="143" spans="5:6" x14ac:dyDescent="0.35">
      <c r="E143" s="7"/>
    </row>
    <row r="144" spans="5:6" x14ac:dyDescent="0.35">
      <c r="E144" s="7"/>
    </row>
    <row r="145" spans="5:5" x14ac:dyDescent="0.35">
      <c r="E145" s="7"/>
    </row>
    <row r="146" spans="5:5" x14ac:dyDescent="0.35">
      <c r="E146" s="7"/>
    </row>
    <row r="147" spans="5:5" x14ac:dyDescent="0.35">
      <c r="E147" s="7"/>
    </row>
    <row r="148" spans="5:5" x14ac:dyDescent="0.35">
      <c r="E148" s="7"/>
    </row>
    <row r="150" spans="5:5" x14ac:dyDescent="0.35">
      <c r="E150" s="6"/>
    </row>
    <row r="151" spans="5:5" x14ac:dyDescent="0.35">
      <c r="E151" s="7"/>
    </row>
    <row r="152" spans="5:5" x14ac:dyDescent="0.35">
      <c r="E152" s="7"/>
    </row>
    <row r="153" spans="5:5" x14ac:dyDescent="0.35">
      <c r="E153" s="7"/>
    </row>
    <row r="154" spans="5:5" x14ac:dyDescent="0.35">
      <c r="E154" s="7"/>
    </row>
    <row r="155" spans="5:5" x14ac:dyDescent="0.35">
      <c r="E155" s="7"/>
    </row>
    <row r="156" spans="5:5" x14ac:dyDescent="0.35">
      <c r="E156" s="7"/>
    </row>
    <row r="157" spans="5:5" x14ac:dyDescent="0.35">
      <c r="E157" s="7"/>
    </row>
  </sheetData>
  <mergeCells count="1">
    <mergeCell ref="H2:I2"/>
  </mergeCells>
  <conditionalFormatting sqref="D32:D38 D52:D55 D59:D62 D16:D28 I49:I55 D5:D13 D42:D48 I11:I19 I23:I36 I40:I45 I59:I62">
    <cfRule type="cellIs" dxfId="937" priority="2" stopIfTrue="1" operator="lessThan">
      <formula>0</formula>
    </cfRule>
  </conditionalFormatting>
  <conditionalFormatting sqref="I5">
    <cfRule type="expression" dxfId="936" priority="1">
      <formula>IF(,,H5&gt;G5)</formula>
    </cfRule>
  </conditionalFormatting>
  <pageMargins left="0.7" right="0.7" top="0.75" bottom="0.75" header="0.3" footer="0.3"/>
  <tableParts count="11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</vt:i4>
      </vt:variant>
    </vt:vector>
  </HeadingPairs>
  <TitlesOfParts>
    <vt:vector size="17" baseType="lpstr"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  <vt:lpstr>AVERAGES</vt:lpstr>
      <vt:lpstr>TOTAL</vt:lpstr>
      <vt:lpstr>Graph</vt:lpstr>
      <vt:lpstr>Sheet1</vt:lpstr>
      <vt:lpstr>JAN!Print_Area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Personal Monthly Budget</dc:title>
  <dc:creator>JONES, CHRISTOPHER T GS-07 USAF AMC 60 FSS/FSFD</dc:creator>
  <dc:description>(c) 2008-2014 Vertex42 LLC. All Rights Reserved.</dc:description>
  <cp:lastModifiedBy>Customer</cp:lastModifiedBy>
  <cp:lastPrinted>2014-04-03T17:08:47Z</cp:lastPrinted>
  <dcterms:created xsi:type="dcterms:W3CDTF">2007-10-28T01:07:07Z</dcterms:created>
  <dcterms:modified xsi:type="dcterms:W3CDTF">2020-01-07T00:38:46Z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2008-2014 Vertex42 LLC</vt:lpwstr>
  </property>
  <property fmtid="{D5CDD505-2E9C-101B-9397-08002B2CF9AE}" pid="3" name="Version">
    <vt:lpwstr>1.1.0</vt:lpwstr>
  </property>
</Properties>
</file>